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lizabeth.amaral\Desktop\renovação city\"/>
    </mc:Choice>
  </mc:AlternateContent>
  <bookViews>
    <workbookView xWindow="28680" yWindow="-120" windowWidth="21840" windowHeight="13140" tabRatio="987" firstSheet="1" activeTab="9"/>
  </bookViews>
  <sheets>
    <sheet name="QUADRO RESUMO" sheetId="37" r:id="rId1"/>
    <sheet name=" VIGILANTES DIURNO" sheetId="13" r:id="rId2"/>
    <sheet name="PLAQUATAS DE IDENTIFICAÇÃO" sheetId="11" state="hidden" r:id="rId3"/>
    <sheet name="VIGILANTES NOTURNOS" sheetId="25" r:id="rId4"/>
    <sheet name="VIG.MOTORIZADO DIUR." sheetId="26" r:id="rId5"/>
    <sheet name="VIG.MOTORIZADO NOTURNO" sheetId="31" r:id="rId6"/>
    <sheet name="VIGILANTES 44 H" sheetId="32" r:id="rId7"/>
    <sheet name="SUPERVISOR" sheetId="33" r:id="rId8"/>
    <sheet name="VIGILANTE 12x36 SEG, A SEXTA" sheetId="34" r:id="rId9"/>
    <sheet name=" V.A_VT" sheetId="7" r:id="rId10"/>
    <sheet name="RELÓGIO DE PONTO" sheetId="15" state="hidden" r:id="rId11"/>
    <sheet name="MATERIAL" sheetId="17" state="hidden" r:id="rId12"/>
    <sheet name="EQUIPAMENTO" sheetId="18" state="hidden" r:id="rId13"/>
    <sheet name="RELÓGIO_ PONTO " sheetId="22" r:id="rId14"/>
    <sheet name="MOTOCICLETA" sheetId="38" r:id="rId15"/>
    <sheet name="UNIFORME_EPI" sheetId="6" r:id="rId16"/>
    <sheet name="EQUIPAMENTOS" sheetId="39" r:id="rId17"/>
    <sheet name="MEMORIA DE CALCULO" sheetId="41" r:id="rId18"/>
  </sheets>
  <externalReferences>
    <externalReference r:id="rId19"/>
  </externalReferences>
  <definedNames>
    <definedName name="_10Excel_BuiltIn_Print_Area_3_1_1_1_1_1" localSheetId="17">#REF!</definedName>
    <definedName name="_10Excel_BuiltIn_Print_Area_3_1_1_1_1_1">#REF!</definedName>
    <definedName name="_11Excel_BuiltIn_Print_Area_3_1_1_1_1_1_1" localSheetId="17">#REF!</definedName>
    <definedName name="_11Excel_BuiltIn_Print_Area_3_1_1_1_1_1_1">#REF!</definedName>
    <definedName name="_12Excel_BuiltIn_Print_Area_3_1_1_1_1_1_1_1" localSheetId="17">#REF!</definedName>
    <definedName name="_12Excel_BuiltIn_Print_Area_3_1_1_1_1_1_1_1">#REF!</definedName>
    <definedName name="_13Excel_BuiltIn_Print_Area_3_1_1_1_1_1_1_1_1">#REF!</definedName>
    <definedName name="_14Excel_BuiltIn_Print_Area_3_1_1_1_1_1_1_1_1_1">#REF!</definedName>
    <definedName name="_15Excel_BuiltIn_Print_Area_4_1_1_1_1">#REF!</definedName>
    <definedName name="_16Excel_BuiltIn_Print_Area_5_1_1_1">#REF!</definedName>
    <definedName name="_17EXCEL">#REF!</definedName>
    <definedName name="_17Excel_BuiltIn_Print_Area_6_1_1_1">#REF!</definedName>
    <definedName name="_18Excel_BuiltIn_Print_Area_7_1">#REF!</definedName>
    <definedName name="_1Excel_BuiltIn_Print_Area_1_1_1">#REF!</definedName>
    <definedName name="_2Excel_BuiltIn_Print_Area_1_1_1_1_1">#REF!</definedName>
    <definedName name="_3Excel_BuiltIn_Print_Area_1_1_1_1_1_1_1">#REF!</definedName>
    <definedName name="_4Excel_BuiltIn_Print_Area_1_1_1_1_1_1_1_1">#REF!</definedName>
    <definedName name="_5Excel_BuiltIn_Print_Area_1_1_1_1_1_1_1_1_1">#REF!</definedName>
    <definedName name="_6Excel_BuiltIn_Print_Area_2_1_1_1_1">#REF!</definedName>
    <definedName name="_7Excel_BuiltIn_Print_Area_2_1_1_1_1_1">#REF!</definedName>
    <definedName name="_8Excel_BuiltIn_Print_Area_2_1_1_1_1_1_1">#REF!</definedName>
    <definedName name="_9Excel_BuiltIn_Print_Area_3_1_1">#REF!</definedName>
    <definedName name="_xlnm.Print_Area" localSheetId="9">' V.A_VT'!$A$1:$G$32</definedName>
    <definedName name="_xlnm.Print_Area" localSheetId="1">' VIGILANTES DIURNO'!$A$1:$I$144</definedName>
    <definedName name="_xlnm.Print_Area" localSheetId="16">EQUIPAMENTOS!$A$1:$G$38</definedName>
    <definedName name="_xlnm.Print_Area" localSheetId="17">'MEMORIA DE CALCULO'!$A$1:$L$80</definedName>
    <definedName name="_xlnm.Print_Area" localSheetId="14">MOTOCICLETA!$A$1:$G$9</definedName>
    <definedName name="_xlnm.Print_Area" localSheetId="2">'PLAQUATAS DE IDENTIFICAÇÃO'!$A$1:$E$7</definedName>
    <definedName name="_xlnm.Print_Area" localSheetId="10">'RELÓGIO DE PONTO'!$A$1:$F$12</definedName>
    <definedName name="_xlnm.Print_Area" localSheetId="13">'RELÓGIO_ PONTO '!$A$1:$G$8</definedName>
    <definedName name="_xlnm.Print_Area" localSheetId="7">SUPERVISOR!$A$1:$I$145</definedName>
    <definedName name="_xlnm.Print_Area" localSheetId="15">UNIFORME_EPI!$A$1:$H$50</definedName>
    <definedName name="_xlnm.Print_Area" localSheetId="4">'VIG.MOTORIZADO DIUR.'!$A$1:$I$150</definedName>
    <definedName name="_xlnm.Print_Area" localSheetId="5">'VIG.MOTORIZADO NOTURNO'!$A$1:$I$150</definedName>
    <definedName name="_xlnm.Print_Area" localSheetId="8">'VIGILANTE 12x36 SEG, A SEXTA'!$A$1:$I$145</definedName>
    <definedName name="_xlnm.Print_Area" localSheetId="6">'VIGILANTES 44 H'!$A$1:$I$145</definedName>
    <definedName name="_xlnm.Print_Area" localSheetId="3">'VIGILANTES NOTURNOS'!$A$1:$I$144</definedName>
    <definedName name="ASSIST" localSheetId="17">#REF!</definedName>
    <definedName name="ASSIST">#REF!</definedName>
    <definedName name="encargos" localSheetId="17">#REF!</definedName>
    <definedName name="encargos">#REF!</definedName>
    <definedName name="Excel_BuiltIn_Print_Area_1" localSheetId="17">#REF!</definedName>
    <definedName name="Excel_BuiltIn_Print_Area_1">#REF!</definedName>
    <definedName name="Excel_BuiltIn_Print_Area_1_1">#REF!,#REF!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2">#REF!</definedName>
    <definedName name="Excel_BuiltIn_Print_Area_1_1_1_2">#REF!</definedName>
    <definedName name="Excel_BuiltIn_Print_Area_10">#REF!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1_1_1">#REF!</definedName>
    <definedName name="Excel_BuiltIn_Print_Area_3_1_1_1_1_1_1_1">#REF!</definedName>
    <definedName name="Excel_BuiltIn_Print_Area_3_1_1_1_1_1_1_1_1">#REF!</definedName>
    <definedName name="Excel_BuiltIn_Print_Area_3_1_1_1_1_1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2">#REF!</definedName>
    <definedName name="Excel_BuiltIn_Print_Area_5">#REF!</definedName>
    <definedName name="Excel_BuiltIn_Print_Area_5_1">#REF!</definedName>
    <definedName name="Excel_BuiltIn_Print_Area_5_1_1_1">#REF!</definedName>
    <definedName name="Excel_BuiltIn_Print_Area_5_1_1_1_1">#REF!</definedName>
    <definedName name="Excel_BuiltIn_Print_Area_6">#REF!</definedName>
    <definedName name="Excel_BuiltIn_Print_Area_6_1_1_1">#REF!</definedName>
    <definedName name="Excel_BuiltIn_Print_Area_7_1">#REF!</definedName>
    <definedName name="Excel_BuiltIn_Print_Area_7_1_1">#REF!</definedName>
    <definedName name="Excel_BuiltIn_Print_Area_7_1_1_1">#REF!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9_1">#REF!</definedName>
    <definedName name="Excel_BuiltIn_Print_Area_9_1_1">#REF!</definedName>
    <definedName name="imposto">#REF!</definedName>
    <definedName name="partfunc">'[1]Anexo I'!#REF!</definedName>
    <definedName name="sal" localSheetId="17">#REF!</definedName>
    <definedName name="sal">#REF!</definedName>
    <definedName name="SALAUX" localSheetId="17">#REF!</definedName>
    <definedName name="SALAUX">#REF!</definedName>
    <definedName name="salRT" localSheetId="17">#REF!</definedName>
    <definedName name="salRT">#REF!</definedName>
    <definedName name="taxaAdm">#REF!</definedName>
    <definedName name="taxaLucro">#REF!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3" i="32" l="1"/>
  <c r="H87" i="13"/>
  <c r="H33" i="31" l="1"/>
  <c r="H33" i="26"/>
  <c r="H21" i="25"/>
  <c r="E29" i="7" l="1"/>
  <c r="E24" i="39"/>
  <c r="G24" i="39" s="1"/>
  <c r="E23" i="39"/>
  <c r="G23" i="39" s="1"/>
  <c r="E22" i="39"/>
  <c r="G22" i="39" s="1"/>
  <c r="E21" i="39"/>
  <c r="G21" i="39" s="1"/>
  <c r="E20" i="39"/>
  <c r="G20" i="39" s="1"/>
  <c r="E33" i="39"/>
  <c r="G33" i="39" s="1"/>
  <c r="G34" i="39" s="1"/>
  <c r="G36" i="39" s="1"/>
  <c r="G25" i="39" l="1"/>
  <c r="G27" i="39" s="1"/>
  <c r="E6" i="39" l="1"/>
  <c r="G6" i="39" s="1"/>
  <c r="H129" i="26" l="1"/>
  <c r="H43" i="6" l="1"/>
  <c r="H44" i="6"/>
  <c r="H45" i="6"/>
  <c r="H46" i="6"/>
  <c r="H42" i="6"/>
  <c r="H47" i="6" l="1"/>
  <c r="H48" i="6" s="1"/>
  <c r="J79" i="41"/>
  <c r="J80" i="41" s="1"/>
  <c r="L78" i="41"/>
  <c r="C67" i="41"/>
  <c r="C63" i="41"/>
  <c r="C64" i="41" s="1"/>
  <c r="C69" i="41" s="1"/>
  <c r="D77" i="41" s="1"/>
  <c r="F61" i="41"/>
  <c r="F60" i="41"/>
  <c r="F59" i="41"/>
  <c r="F50" i="41"/>
  <c r="F49" i="41"/>
  <c r="F46" i="41"/>
  <c r="C46" i="41"/>
  <c r="C52" i="41" s="1"/>
  <c r="D76" i="41" s="1"/>
  <c r="C31" i="41"/>
  <c r="C40" i="41" s="1"/>
  <c r="D75" i="41" s="1"/>
  <c r="C18" i="41"/>
  <c r="D79" i="41" l="1"/>
  <c r="H79" i="41" s="1"/>
  <c r="C19" i="41"/>
  <c r="C20" i="41" s="1"/>
  <c r="H24" i="6" l="1"/>
  <c r="G11" i="7" l="1"/>
  <c r="G10" i="7"/>
  <c r="G8" i="7"/>
  <c r="G7" i="7"/>
  <c r="G9" i="7" s="1"/>
  <c r="G5" i="7"/>
  <c r="G4" i="7"/>
  <c r="E25" i="7"/>
  <c r="G25" i="7" s="1"/>
  <c r="I61" i="25" s="1"/>
  <c r="E26" i="7"/>
  <c r="G26" i="7" s="1"/>
  <c r="I62" i="33" s="1"/>
  <c r="E27" i="7"/>
  <c r="G27" i="7" s="1"/>
  <c r="I62" i="34" s="1"/>
  <c r="E28" i="7"/>
  <c r="G28" i="7" s="1"/>
  <c r="I65" i="26" s="1"/>
  <c r="G29" i="7"/>
  <c r="I65" i="31" s="1"/>
  <c r="E30" i="7"/>
  <c r="G30" i="7" s="1"/>
  <c r="I62" i="32" s="1"/>
  <c r="E24" i="7"/>
  <c r="G24" i="7" s="1"/>
  <c r="I62" i="13" s="1"/>
  <c r="G6" i="7" l="1"/>
  <c r="I112" i="33"/>
  <c r="D11" i="37" l="1"/>
  <c r="E7" i="39"/>
  <c r="G7" i="39" s="1"/>
  <c r="E8" i="39"/>
  <c r="G8" i="39" s="1"/>
  <c r="E9" i="39"/>
  <c r="G9" i="39" s="1"/>
  <c r="E10" i="39"/>
  <c r="G10" i="39" s="1"/>
  <c r="E11" i="39"/>
  <c r="G11" i="39" s="1"/>
  <c r="E12" i="39"/>
  <c r="G12" i="39" s="1"/>
  <c r="E13" i="39"/>
  <c r="G13" i="39" s="1"/>
  <c r="G14" i="39" l="1"/>
  <c r="G16" i="39" s="1"/>
  <c r="I67" i="34"/>
  <c r="I111" i="25" l="1"/>
  <c r="I115" i="26"/>
  <c r="I112" i="13"/>
  <c r="I112" i="32"/>
  <c r="I112" i="34"/>
  <c r="I115" i="31"/>
  <c r="E6" i="38"/>
  <c r="G6" i="38" s="1"/>
  <c r="G8" i="38" l="1"/>
  <c r="I116" i="31" s="1"/>
  <c r="G12" i="7"/>
  <c r="D18" i="7" s="1"/>
  <c r="D16" i="7"/>
  <c r="I116" i="26"/>
  <c r="D15" i="7" l="1"/>
  <c r="D17" i="7"/>
  <c r="D20" i="7"/>
  <c r="D19" i="7"/>
  <c r="I117" i="31" l="1"/>
  <c r="F20" i="6"/>
  <c r="H20" i="6" s="1"/>
  <c r="F21" i="6"/>
  <c r="H21" i="6" s="1"/>
  <c r="F22" i="6"/>
  <c r="H22" i="6" s="1"/>
  <c r="I117" i="26" l="1"/>
  <c r="J51" i="13"/>
  <c r="F20" i="7" l="1"/>
  <c r="F19" i="7"/>
  <c r="F16" i="7"/>
  <c r="F15" i="7"/>
  <c r="F18" i="7"/>
  <c r="F17" i="7"/>
  <c r="H126" i="13"/>
  <c r="F16" i="6" l="1"/>
  <c r="H16" i="6" s="1"/>
  <c r="F18" i="6"/>
  <c r="H18" i="6" s="1"/>
  <c r="F19" i="6"/>
  <c r="H19" i="6" s="1"/>
  <c r="F23" i="6"/>
  <c r="F9" i="6"/>
  <c r="F4" i="6"/>
  <c r="F5" i="6"/>
  <c r="F6" i="6"/>
  <c r="H6" i="6" s="1"/>
  <c r="F7" i="6"/>
  <c r="F8" i="6"/>
  <c r="F3" i="6"/>
  <c r="C11" i="37"/>
  <c r="H25" i="6" l="1"/>
  <c r="H8" i="6" l="1"/>
  <c r="H11" i="6" l="1"/>
  <c r="H7" i="6"/>
  <c r="H9" i="6"/>
  <c r="H10" i="6"/>
  <c r="H5" i="6"/>
  <c r="H26" i="6" l="1"/>
  <c r="I111" i="33" s="1"/>
  <c r="F21" i="7"/>
  <c r="B143" i="34" l="1"/>
  <c r="B141" i="34"/>
  <c r="B140" i="34"/>
  <c r="B139" i="34"/>
  <c r="B138" i="34"/>
  <c r="B137" i="34"/>
  <c r="H126" i="34"/>
  <c r="H124" i="34"/>
  <c r="N106" i="34"/>
  <c r="H101" i="34"/>
  <c r="H97" i="34"/>
  <c r="H83" i="34"/>
  <c r="J51" i="34"/>
  <c r="H58" i="34" s="1"/>
  <c r="H85" i="34" s="1"/>
  <c r="H39" i="34"/>
  <c r="H41" i="34" s="1"/>
  <c r="I29" i="34"/>
  <c r="I30" i="34" s="1"/>
  <c r="H21" i="34"/>
  <c r="H24" i="34" s="1"/>
  <c r="B143" i="33"/>
  <c r="B141" i="33"/>
  <c r="B140" i="33"/>
  <c r="B139" i="33"/>
  <c r="B138" i="33"/>
  <c r="B137" i="33"/>
  <c r="H126" i="33"/>
  <c r="H124" i="33"/>
  <c r="L106" i="33"/>
  <c r="H101" i="33"/>
  <c r="H97" i="33"/>
  <c r="H83" i="33"/>
  <c r="J51" i="33"/>
  <c r="H58" i="33" s="1"/>
  <c r="H85" i="33" s="1"/>
  <c r="H39" i="33"/>
  <c r="H41" i="33" s="1"/>
  <c r="I29" i="33"/>
  <c r="I30" i="33" s="1"/>
  <c r="H21" i="33"/>
  <c r="H24" i="33" s="1"/>
  <c r="B143" i="32"/>
  <c r="B141" i="32"/>
  <c r="B140" i="32"/>
  <c r="B139" i="32"/>
  <c r="B138" i="32"/>
  <c r="B137" i="32"/>
  <c r="H126" i="32"/>
  <c r="H124" i="32"/>
  <c r="N106" i="32"/>
  <c r="H101" i="32"/>
  <c r="H97" i="32"/>
  <c r="J51" i="32"/>
  <c r="H58" i="32" s="1"/>
  <c r="H85" i="32" s="1"/>
  <c r="H39" i="32"/>
  <c r="H41" i="32" s="1"/>
  <c r="I29" i="32"/>
  <c r="I30" i="32" s="1"/>
  <c r="H21" i="32"/>
  <c r="H24" i="32" s="1"/>
  <c r="B148" i="31"/>
  <c r="B146" i="31"/>
  <c r="B145" i="31"/>
  <c r="B144" i="31"/>
  <c r="B143" i="31"/>
  <c r="B142" i="31"/>
  <c r="H131" i="31"/>
  <c r="H129" i="31"/>
  <c r="N105" i="31"/>
  <c r="H104" i="31"/>
  <c r="H100" i="31"/>
  <c r="H86" i="31"/>
  <c r="J50" i="31"/>
  <c r="H61" i="31" s="1"/>
  <c r="H88" i="31" s="1"/>
  <c r="H41" i="31"/>
  <c r="H43" i="31" s="1"/>
  <c r="I29" i="31"/>
  <c r="H21" i="31"/>
  <c r="H24" i="31" s="1"/>
  <c r="B143" i="26"/>
  <c r="B148" i="26"/>
  <c r="B146" i="26"/>
  <c r="B145" i="26"/>
  <c r="B144" i="26"/>
  <c r="B142" i="26"/>
  <c r="H131" i="26"/>
  <c r="N109" i="26"/>
  <c r="H104" i="26"/>
  <c r="H100" i="26"/>
  <c r="H86" i="26"/>
  <c r="J54" i="26"/>
  <c r="H61" i="26" s="1"/>
  <c r="H41" i="26"/>
  <c r="H43" i="26" s="1"/>
  <c r="I29" i="26"/>
  <c r="H21" i="26"/>
  <c r="H24" i="26" s="1"/>
  <c r="B142" i="25"/>
  <c r="B140" i="25"/>
  <c r="B139" i="25"/>
  <c r="B138" i="25"/>
  <c r="B137" i="25"/>
  <c r="B136" i="25"/>
  <c r="H125" i="25"/>
  <c r="H123" i="25"/>
  <c r="N105" i="25"/>
  <c r="H100" i="25"/>
  <c r="H96" i="25"/>
  <c r="H82" i="25"/>
  <c r="J50" i="25"/>
  <c r="H57" i="25" s="1"/>
  <c r="H84" i="25" s="1"/>
  <c r="H38" i="25"/>
  <c r="I29" i="25"/>
  <c r="H24" i="25"/>
  <c r="I30" i="25" l="1"/>
  <c r="I33" i="31"/>
  <c r="I33" i="26"/>
  <c r="I34" i="26"/>
  <c r="H42" i="32"/>
  <c r="H43" i="32" s="1"/>
  <c r="H42" i="34"/>
  <c r="H43" i="34" s="1"/>
  <c r="I34" i="31"/>
  <c r="I37" i="31" s="1"/>
  <c r="H42" i="33"/>
  <c r="H43" i="33" s="1"/>
  <c r="H44" i="26"/>
  <c r="H45" i="26" s="1"/>
  <c r="H44" i="31"/>
  <c r="H45" i="31" s="1"/>
  <c r="H40" i="25"/>
  <c r="H41" i="25" s="1"/>
  <c r="H88" i="26"/>
  <c r="H90" i="26" s="1"/>
  <c r="I31" i="33"/>
  <c r="I35" i="33" s="1"/>
  <c r="I137" i="33" s="1"/>
  <c r="I31" i="32"/>
  <c r="I35" i="32" s="1"/>
  <c r="I85" i="32" s="1"/>
  <c r="H86" i="25"/>
  <c r="H87" i="34"/>
  <c r="H87" i="32"/>
  <c r="I31" i="34"/>
  <c r="I35" i="34" s="1"/>
  <c r="H87" i="33"/>
  <c r="H90" i="31"/>
  <c r="E6" i="22"/>
  <c r="H3" i="6"/>
  <c r="H4" i="6"/>
  <c r="I39" i="32" l="1"/>
  <c r="I83" i="32"/>
  <c r="I84" i="32"/>
  <c r="I82" i="32"/>
  <c r="I37" i="26"/>
  <c r="I31" i="25"/>
  <c r="I34" i="25" s="1"/>
  <c r="H12" i="6"/>
  <c r="G6" i="22"/>
  <c r="G8" i="22" s="1"/>
  <c r="I97" i="26"/>
  <c r="I93" i="32"/>
  <c r="I91" i="33"/>
  <c r="I101" i="33"/>
  <c r="I106" i="33" s="1"/>
  <c r="I85" i="33"/>
  <c r="I94" i="33"/>
  <c r="I82" i="33"/>
  <c r="I40" i="33"/>
  <c r="I84" i="33"/>
  <c r="I83" i="33"/>
  <c r="I86" i="33"/>
  <c r="I93" i="33"/>
  <c r="I96" i="33"/>
  <c r="I92" i="33"/>
  <c r="I39" i="33"/>
  <c r="I95" i="33"/>
  <c r="I137" i="32"/>
  <c r="I95" i="32"/>
  <c r="I40" i="32"/>
  <c r="I91" i="32"/>
  <c r="I86" i="32"/>
  <c r="I100" i="32"/>
  <c r="I101" i="32" s="1"/>
  <c r="I106" i="32" s="1"/>
  <c r="I92" i="32"/>
  <c r="I94" i="32"/>
  <c r="I96" i="32"/>
  <c r="I104" i="26"/>
  <c r="I109" i="26" s="1"/>
  <c r="I100" i="25"/>
  <c r="I101" i="34"/>
  <c r="I106" i="34" s="1"/>
  <c r="I91" i="34"/>
  <c r="I83" i="34"/>
  <c r="I40" i="34"/>
  <c r="I39" i="34"/>
  <c r="I82" i="34"/>
  <c r="I92" i="34"/>
  <c r="I137" i="34"/>
  <c r="I96" i="34"/>
  <c r="I86" i="34"/>
  <c r="I95" i="34"/>
  <c r="I85" i="34"/>
  <c r="I94" i="34"/>
  <c r="I93" i="34"/>
  <c r="I84" i="34"/>
  <c r="I104" i="31"/>
  <c r="I109" i="31" s="1"/>
  <c r="I94" i="31"/>
  <c r="I86" i="31"/>
  <c r="I42" i="31"/>
  <c r="I41" i="31"/>
  <c r="I85" i="31"/>
  <c r="I142" i="31"/>
  <c r="I99" i="31"/>
  <c r="I89" i="31"/>
  <c r="I98" i="31"/>
  <c r="I88" i="31"/>
  <c r="I95" i="31"/>
  <c r="I97" i="31"/>
  <c r="I96" i="31"/>
  <c r="I87" i="31"/>
  <c r="I41" i="33" l="1"/>
  <c r="I41" i="32"/>
  <c r="I42" i="32" s="1"/>
  <c r="I43" i="32" s="1"/>
  <c r="I75" i="32" s="1"/>
  <c r="I92" i="25"/>
  <c r="I96" i="25" s="1"/>
  <c r="I104" i="25" s="1"/>
  <c r="I106" i="25" s="1"/>
  <c r="I139" i="25" s="1"/>
  <c r="I82" i="25"/>
  <c r="I83" i="25"/>
  <c r="I90" i="25"/>
  <c r="I81" i="25"/>
  <c r="I136" i="25"/>
  <c r="I91" i="25"/>
  <c r="I84" i="25"/>
  <c r="I95" i="25"/>
  <c r="I85" i="25"/>
  <c r="I93" i="25"/>
  <c r="I39" i="25"/>
  <c r="I94" i="25"/>
  <c r="I38" i="25"/>
  <c r="I41" i="34"/>
  <c r="I42" i="34" s="1"/>
  <c r="I43" i="34" s="1"/>
  <c r="I75" i="34" s="1"/>
  <c r="I87" i="32"/>
  <c r="I139" i="32" s="1"/>
  <c r="I113" i="33"/>
  <c r="I118" i="31"/>
  <c r="I118" i="26"/>
  <c r="I113" i="32"/>
  <c r="I113" i="34"/>
  <c r="I112" i="25"/>
  <c r="I113" i="13"/>
  <c r="I42" i="33"/>
  <c r="I43" i="33" s="1"/>
  <c r="I75" i="33" s="1"/>
  <c r="I43" i="31"/>
  <c r="I44" i="31" s="1"/>
  <c r="I45" i="31" s="1"/>
  <c r="I78" i="31" s="1"/>
  <c r="I95" i="26"/>
  <c r="I89" i="26"/>
  <c r="I99" i="26"/>
  <c r="I87" i="26"/>
  <c r="I142" i="26"/>
  <c r="I41" i="26"/>
  <c r="I85" i="26"/>
  <c r="I86" i="26"/>
  <c r="I94" i="26"/>
  <c r="I98" i="26"/>
  <c r="I42" i="26"/>
  <c r="I96" i="26"/>
  <c r="I88" i="26"/>
  <c r="I40" i="25"/>
  <c r="I41" i="25" s="1"/>
  <c r="I74" i="25" s="1"/>
  <c r="I97" i="33"/>
  <c r="I87" i="33"/>
  <c r="I139" i="33" s="1"/>
  <c r="I97" i="32"/>
  <c r="I105" i="32" s="1"/>
  <c r="I107" i="32" s="1"/>
  <c r="I140" i="32" s="1"/>
  <c r="I90" i="31"/>
  <c r="I144" i="31" s="1"/>
  <c r="I97" i="34"/>
  <c r="I105" i="34" s="1"/>
  <c r="I107" i="34" s="1"/>
  <c r="I140" i="34" s="1"/>
  <c r="I87" i="34"/>
  <c r="I139" i="34" s="1"/>
  <c r="I100" i="31"/>
  <c r="I108" i="31" s="1"/>
  <c r="I110" i="31" s="1"/>
  <c r="I145" i="31" s="1"/>
  <c r="I86" i="25" l="1"/>
  <c r="I138" i="25" s="1"/>
  <c r="I53" i="32"/>
  <c r="I49" i="32"/>
  <c r="I55" i="32"/>
  <c r="I51" i="32"/>
  <c r="I49" i="33"/>
  <c r="I50" i="32"/>
  <c r="I56" i="32"/>
  <c r="I54" i="34"/>
  <c r="I54" i="32"/>
  <c r="I50" i="33"/>
  <c r="I43" i="26"/>
  <c r="I57" i="32"/>
  <c r="I53" i="33"/>
  <c r="I100" i="26"/>
  <c r="I108" i="26" s="1"/>
  <c r="I110" i="26" s="1"/>
  <c r="I145" i="26" s="1"/>
  <c r="I44" i="26"/>
  <c r="I45" i="26" s="1"/>
  <c r="I90" i="26"/>
  <c r="I144" i="26" s="1"/>
  <c r="I105" i="33"/>
  <c r="I107" i="33" s="1"/>
  <c r="I140" i="33" s="1"/>
  <c r="I54" i="33"/>
  <c r="I56" i="33"/>
  <c r="I51" i="33"/>
  <c r="I57" i="33"/>
  <c r="I55" i="33"/>
  <c r="I57" i="34"/>
  <c r="I49" i="34"/>
  <c r="I53" i="34"/>
  <c r="I55" i="25"/>
  <c r="I52" i="25"/>
  <c r="I48" i="25"/>
  <c r="I50" i="34"/>
  <c r="I51" i="34"/>
  <c r="I55" i="34"/>
  <c r="I56" i="34"/>
  <c r="I53" i="25"/>
  <c r="I56" i="25"/>
  <c r="I54" i="25"/>
  <c r="I49" i="25"/>
  <c r="I50" i="25"/>
  <c r="I52" i="31"/>
  <c r="I56" i="31"/>
  <c r="I53" i="31"/>
  <c r="I58" i="31"/>
  <c r="I59" i="31"/>
  <c r="I60" i="31"/>
  <c r="I57" i="31"/>
  <c r="I54" i="31"/>
  <c r="H83" i="13"/>
  <c r="I58" i="32" l="1"/>
  <c r="I76" i="32" s="1"/>
  <c r="L74" i="32" s="1"/>
  <c r="I58" i="33"/>
  <c r="I76" i="33" s="1"/>
  <c r="I59" i="26"/>
  <c r="I54" i="26"/>
  <c r="I52" i="26"/>
  <c r="I78" i="26"/>
  <c r="I53" i="26"/>
  <c r="I60" i="26"/>
  <c r="I57" i="26"/>
  <c r="I56" i="26"/>
  <c r="I58" i="26"/>
  <c r="I58" i="34"/>
  <c r="I76" i="34" s="1"/>
  <c r="L74" i="34" s="1"/>
  <c r="I57" i="25"/>
  <c r="I75" i="25" s="1"/>
  <c r="L73" i="25" s="1"/>
  <c r="I61" i="31"/>
  <c r="I79" i="31" s="1"/>
  <c r="L73" i="31" s="1"/>
  <c r="I61" i="26" l="1"/>
  <c r="I79" i="26" s="1"/>
  <c r="L77" i="26" s="1"/>
  <c r="I114" i="33"/>
  <c r="H13" i="6" l="1"/>
  <c r="I111" i="34" l="1"/>
  <c r="I114" i="34" s="1"/>
  <c r="I141" i="34" s="1"/>
  <c r="I110" i="25"/>
  <c r="I113" i="25" s="1"/>
  <c r="I140" i="25" s="1"/>
  <c r="I111" i="13"/>
  <c r="I114" i="13" s="1"/>
  <c r="I141" i="13" s="1"/>
  <c r="I114" i="26"/>
  <c r="I119" i="26" s="1"/>
  <c r="I146" i="26" s="1"/>
  <c r="I141" i="33"/>
  <c r="I111" i="32"/>
  <c r="I114" i="32" s="1"/>
  <c r="I141" i="32" s="1"/>
  <c r="I114" i="31"/>
  <c r="I119" i="31" s="1"/>
  <c r="I146" i="31" s="1"/>
  <c r="I29" i="13"/>
  <c r="E5" i="18"/>
  <c r="H5" i="18" s="1"/>
  <c r="E6" i="18"/>
  <c r="H6" i="18" s="1"/>
  <c r="E7" i="18"/>
  <c r="H7" i="18" s="1"/>
  <c r="E8" i="18"/>
  <c r="H8" i="18" s="1"/>
  <c r="D9" i="18"/>
  <c r="I5" i="17"/>
  <c r="I6" i="17"/>
  <c r="I7" i="17"/>
  <c r="I8" i="17"/>
  <c r="I9" i="17"/>
  <c r="I15" i="17"/>
  <c r="I16" i="17"/>
  <c r="I17" i="17"/>
  <c r="I18" i="17"/>
  <c r="I19" i="17"/>
  <c r="I20" i="17"/>
  <c r="I21" i="17"/>
  <c r="I22" i="17"/>
  <c r="I23" i="17"/>
  <c r="I24" i="17"/>
  <c r="I25" i="17"/>
  <c r="I26" i="17"/>
  <c r="I27" i="17"/>
  <c r="I28" i="17"/>
  <c r="I34" i="17"/>
  <c r="I35" i="17"/>
  <c r="I36" i="17"/>
  <c r="I37" i="17"/>
  <c r="I38" i="17"/>
  <c r="I39" i="17"/>
  <c r="I40" i="17"/>
  <c r="I41" i="17"/>
  <c r="I42" i="17"/>
  <c r="I43" i="17"/>
  <c r="I44" i="17"/>
  <c r="I45" i="17"/>
  <c r="I46" i="17"/>
  <c r="I47" i="17"/>
  <c r="I48" i="17"/>
  <c r="I49" i="17"/>
  <c r="I50" i="17"/>
  <c r="I51" i="17"/>
  <c r="I52" i="17"/>
  <c r="I53" i="17"/>
  <c r="I54" i="17"/>
  <c r="I55" i="17"/>
  <c r="I56" i="17"/>
  <c r="A35" i="17"/>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16" i="17"/>
  <c r="A17" i="17" s="1"/>
  <c r="A18" i="17" s="1"/>
  <c r="A19" i="17" s="1"/>
  <c r="A20" i="17" s="1"/>
  <c r="A21" i="17" s="1"/>
  <c r="A22" i="17" s="1"/>
  <c r="A23" i="17" s="1"/>
  <c r="A24" i="17" s="1"/>
  <c r="A25" i="17" s="1"/>
  <c r="A26" i="17" s="1"/>
  <c r="A27" i="17" s="1"/>
  <c r="A28" i="17" s="1"/>
  <c r="H39" i="13"/>
  <c r="H58" i="13"/>
  <c r="E4" i="15"/>
  <c r="F4" i="15" s="1"/>
  <c r="F5" i="15" s="1"/>
  <c r="B143" i="13"/>
  <c r="B141" i="13"/>
  <c r="B140" i="13"/>
  <c r="B139" i="13"/>
  <c r="B138" i="13"/>
  <c r="B137" i="13"/>
  <c r="H124" i="13"/>
  <c r="N106" i="13"/>
  <c r="H101" i="13"/>
  <c r="H97" i="13"/>
  <c r="H21" i="13"/>
  <c r="H24" i="13" s="1"/>
  <c r="E3" i="11"/>
  <c r="E4" i="11" s="1"/>
  <c r="I32" i="13" l="1"/>
  <c r="I30" i="13"/>
  <c r="H41" i="13"/>
  <c r="H42" i="13" s="1"/>
  <c r="I29" i="17"/>
  <c r="H65" i="17" s="1"/>
  <c r="I10" i="17"/>
  <c r="H64" i="17" s="1"/>
  <c r="H67" i="17" s="1"/>
  <c r="H68" i="17" s="1"/>
  <c r="I57" i="17"/>
  <c r="H66" i="17" s="1"/>
  <c r="G15" i="7"/>
  <c r="I61" i="13" s="1"/>
  <c r="I31" i="13"/>
  <c r="H85" i="13"/>
  <c r="H9" i="18"/>
  <c r="H10" i="18" s="1"/>
  <c r="E9" i="18"/>
  <c r="E79" i="17"/>
  <c r="F3" i="17" s="1"/>
  <c r="I35" i="13" l="1"/>
  <c r="I91" i="13" s="1"/>
  <c r="G18" i="7"/>
  <c r="I77" i="34" s="1"/>
  <c r="G19" i="7"/>
  <c r="I64" i="31" s="1"/>
  <c r="I70" i="31" s="1"/>
  <c r="I80" i="31" s="1"/>
  <c r="I81" i="31" s="1"/>
  <c r="I143" i="31" s="1"/>
  <c r="I147" i="31" s="1"/>
  <c r="I123" i="31" s="1"/>
  <c r="G16" i="7"/>
  <c r="I60" i="25" s="1"/>
  <c r="I66" i="25" s="1"/>
  <c r="I76" i="25" s="1"/>
  <c r="I77" i="25" s="1"/>
  <c r="I137" i="25" s="1"/>
  <c r="I141" i="25" s="1"/>
  <c r="I117" i="25" s="1"/>
  <c r="D21" i="7"/>
  <c r="G21" i="7" s="1"/>
  <c r="I61" i="32" s="1"/>
  <c r="I67" i="32" s="1"/>
  <c r="I77" i="32" s="1"/>
  <c r="I78" i="32" s="1"/>
  <c r="I138" i="32" s="1"/>
  <c r="I142" i="32" s="1"/>
  <c r="I118" i="32" s="1"/>
  <c r="F32" i="17"/>
  <c r="F13" i="17"/>
  <c r="F17" i="17" s="1"/>
  <c r="G17" i="17" s="1"/>
  <c r="H17" i="17" s="1"/>
  <c r="G17" i="7"/>
  <c r="I61" i="33" s="1"/>
  <c r="I67" i="33" s="1"/>
  <c r="I77" i="33" s="1"/>
  <c r="I78" i="33" s="1"/>
  <c r="I138" i="33" s="1"/>
  <c r="I142" i="33" s="1"/>
  <c r="I118" i="33" s="1"/>
  <c r="G20" i="7"/>
  <c r="I64" i="26" s="1"/>
  <c r="I70" i="26" s="1"/>
  <c r="I80" i="26" s="1"/>
  <c r="I81" i="26" s="1"/>
  <c r="I143" i="26" s="1"/>
  <c r="I147" i="26" s="1"/>
  <c r="I123" i="26" s="1"/>
  <c r="I60" i="17"/>
  <c r="I101" i="13"/>
  <c r="I106" i="13" s="1"/>
  <c r="I67" i="13"/>
  <c r="F8" i="17"/>
  <c r="G8" i="17" s="1"/>
  <c r="H8" i="17" s="1"/>
  <c r="F7" i="17"/>
  <c r="G7" i="17" s="1"/>
  <c r="H7" i="17" s="1"/>
  <c r="F9" i="17"/>
  <c r="G9" i="17" s="1"/>
  <c r="H9" i="17" s="1"/>
  <c r="F6" i="17"/>
  <c r="G6" i="17" s="1"/>
  <c r="H6" i="17" s="1"/>
  <c r="F5" i="17"/>
  <c r="G5" i="17" s="1"/>
  <c r="H5" i="17" s="1"/>
  <c r="F36" i="17"/>
  <c r="G36" i="17" s="1"/>
  <c r="H36" i="17" s="1"/>
  <c r="F40" i="17"/>
  <c r="G40" i="17" s="1"/>
  <c r="H40" i="17" s="1"/>
  <c r="F44" i="17"/>
  <c r="G44" i="17" s="1"/>
  <c r="H44" i="17" s="1"/>
  <c r="F48" i="17"/>
  <c r="G48" i="17" s="1"/>
  <c r="H48" i="17" s="1"/>
  <c r="F52" i="17"/>
  <c r="G52" i="17" s="1"/>
  <c r="H52" i="17" s="1"/>
  <c r="F56" i="17"/>
  <c r="G56" i="17" s="1"/>
  <c r="H56" i="17" s="1"/>
  <c r="F45" i="17"/>
  <c r="G45" i="17" s="1"/>
  <c r="H45" i="17" s="1"/>
  <c r="F35" i="17"/>
  <c r="G35" i="17" s="1"/>
  <c r="H35" i="17" s="1"/>
  <c r="F39" i="17"/>
  <c r="G39" i="17" s="1"/>
  <c r="H39" i="17" s="1"/>
  <c r="F43" i="17"/>
  <c r="G43" i="17" s="1"/>
  <c r="H43" i="17" s="1"/>
  <c r="F47" i="17"/>
  <c r="G47" i="17" s="1"/>
  <c r="H47" i="17" s="1"/>
  <c r="F51" i="17"/>
  <c r="G51" i="17" s="1"/>
  <c r="H51" i="17" s="1"/>
  <c r="F55" i="17"/>
  <c r="G55" i="17" s="1"/>
  <c r="H55" i="17" s="1"/>
  <c r="F37" i="17"/>
  <c r="G37" i="17" s="1"/>
  <c r="H37" i="17" s="1"/>
  <c r="F34" i="17"/>
  <c r="G34" i="17" s="1"/>
  <c r="H34" i="17" s="1"/>
  <c r="F38" i="17"/>
  <c r="G38" i="17" s="1"/>
  <c r="H38" i="17" s="1"/>
  <c r="F42" i="17"/>
  <c r="G42" i="17" s="1"/>
  <c r="H42" i="17" s="1"/>
  <c r="F46" i="17"/>
  <c r="G46" i="17" s="1"/>
  <c r="H46" i="17" s="1"/>
  <c r="F50" i="17"/>
  <c r="G50" i="17" s="1"/>
  <c r="H50" i="17" s="1"/>
  <c r="F54" i="17"/>
  <c r="G54" i="17" s="1"/>
  <c r="H54" i="17" s="1"/>
  <c r="F41" i="17"/>
  <c r="G41" i="17" s="1"/>
  <c r="H41" i="17" s="1"/>
  <c r="F49" i="17"/>
  <c r="G49" i="17" s="1"/>
  <c r="H49" i="17" s="1"/>
  <c r="F53" i="17"/>
  <c r="G53" i="17" s="1"/>
  <c r="H53" i="17" s="1"/>
  <c r="F16" i="17"/>
  <c r="G16" i="17" s="1"/>
  <c r="H16" i="17" s="1"/>
  <c r="F20" i="17"/>
  <c r="G20" i="17" s="1"/>
  <c r="H20" i="17" s="1"/>
  <c r="F24" i="17"/>
  <c r="G24" i="17" s="1"/>
  <c r="H24" i="17" s="1"/>
  <c r="F28" i="17"/>
  <c r="G28" i="17" s="1"/>
  <c r="H28" i="17" s="1"/>
  <c r="F21" i="17"/>
  <c r="G21" i="17" s="1"/>
  <c r="H21" i="17" s="1"/>
  <c r="F25" i="17"/>
  <c r="G25" i="17" s="1"/>
  <c r="H25" i="17" s="1"/>
  <c r="F19" i="17"/>
  <c r="G19" i="17" s="1"/>
  <c r="H19" i="17" s="1"/>
  <c r="F23" i="17"/>
  <c r="G23" i="17" s="1"/>
  <c r="H23" i="17" s="1"/>
  <c r="F27" i="17"/>
  <c r="G27" i="17" s="1"/>
  <c r="H27" i="17" s="1"/>
  <c r="F18" i="17"/>
  <c r="G18" i="17" s="1"/>
  <c r="H18" i="17" s="1"/>
  <c r="F22" i="17"/>
  <c r="G22" i="17" s="1"/>
  <c r="H22" i="17" s="1"/>
  <c r="F26" i="17"/>
  <c r="G26" i="17" s="1"/>
  <c r="H26" i="17" s="1"/>
  <c r="I84" i="13" l="1"/>
  <c r="I95" i="13"/>
  <c r="I96" i="13"/>
  <c r="I82" i="13"/>
  <c r="I40" i="13"/>
  <c r="I39" i="13"/>
  <c r="I92" i="13"/>
  <c r="I85" i="13"/>
  <c r="I137" i="13"/>
  <c r="I93" i="13"/>
  <c r="I94" i="13"/>
  <c r="I83" i="13"/>
  <c r="I86" i="13"/>
  <c r="F15" i="17"/>
  <c r="G15" i="17" s="1"/>
  <c r="H15" i="17" s="1"/>
  <c r="I78" i="34"/>
  <c r="I138" i="34" s="1"/>
  <c r="I142" i="34" s="1"/>
  <c r="I118" i="34" s="1"/>
  <c r="I119" i="34" s="1"/>
  <c r="I129" i="34" s="1"/>
  <c r="I131" i="34" s="1"/>
  <c r="I41" i="13"/>
  <c r="I42" i="13" s="1"/>
  <c r="I51" i="13" s="1"/>
  <c r="I124" i="26"/>
  <c r="I134" i="26" s="1"/>
  <c r="I136" i="26" s="1"/>
  <c r="I124" i="31"/>
  <c r="I134" i="31" s="1"/>
  <c r="I136" i="31" s="1"/>
  <c r="I118" i="25"/>
  <c r="I128" i="25" s="1"/>
  <c r="I130" i="25" s="1"/>
  <c r="I119" i="33"/>
  <c r="I129" i="33" s="1"/>
  <c r="I131" i="33" s="1"/>
  <c r="I119" i="32"/>
  <c r="I129" i="32" s="1"/>
  <c r="I131" i="32" s="1"/>
  <c r="I77" i="13"/>
  <c r="H29" i="17"/>
  <c r="C65" i="17" s="1"/>
  <c r="H57" i="17"/>
  <c r="C66" i="17" s="1"/>
  <c r="H10" i="17"/>
  <c r="I87" i="13" l="1"/>
  <c r="I139" i="13" s="1"/>
  <c r="I97" i="13"/>
  <c r="I105" i="13"/>
  <c r="I122" i="25"/>
  <c r="I132" i="25"/>
  <c r="I120" i="25"/>
  <c r="I121" i="25"/>
  <c r="I123" i="32"/>
  <c r="I122" i="32"/>
  <c r="I133" i="32"/>
  <c r="I121" i="32"/>
  <c r="I121" i="34"/>
  <c r="I123" i="34"/>
  <c r="I133" i="34"/>
  <c r="I122" i="34"/>
  <c r="I126" i="31"/>
  <c r="I128" i="31"/>
  <c r="I127" i="31"/>
  <c r="I138" i="31"/>
  <c r="I133" i="33"/>
  <c r="I121" i="33"/>
  <c r="I122" i="33"/>
  <c r="I123" i="33"/>
  <c r="I127" i="26"/>
  <c r="I138" i="26"/>
  <c r="I128" i="26"/>
  <c r="I126" i="26"/>
  <c r="I75" i="13"/>
  <c r="I57" i="13"/>
  <c r="I50" i="13"/>
  <c r="I49" i="13"/>
  <c r="I53" i="13"/>
  <c r="I55" i="13"/>
  <c r="I56" i="13"/>
  <c r="I54" i="13"/>
  <c r="H60" i="17"/>
  <c r="C64" i="17"/>
  <c r="C67" i="17" s="1"/>
  <c r="C68" i="17" s="1"/>
  <c r="I124" i="33" l="1"/>
  <c r="I143" i="33" s="1"/>
  <c r="I144" i="33" s="1"/>
  <c r="F9" i="37" s="1"/>
  <c r="G9" i="37" s="1"/>
  <c r="I107" i="13"/>
  <c r="I140" i="13" s="1"/>
  <c r="I124" i="32"/>
  <c r="I143" i="32" s="1"/>
  <c r="I144" i="32" s="1"/>
  <c r="I124" i="34"/>
  <c r="I143" i="34" s="1"/>
  <c r="I144" i="34" s="1"/>
  <c r="I129" i="26"/>
  <c r="I148" i="26" s="1"/>
  <c r="I149" i="26" s="1"/>
  <c r="I123" i="25"/>
  <c r="I142" i="25" s="1"/>
  <c r="I143" i="25" s="1"/>
  <c r="F5" i="37" s="1"/>
  <c r="G5" i="37" s="1"/>
  <c r="I129" i="31"/>
  <c r="I148" i="31" s="1"/>
  <c r="I149" i="31" s="1"/>
  <c r="F7" i="37" s="1"/>
  <c r="G7" i="37" s="1"/>
  <c r="I58" i="13"/>
  <c r="I76" i="13" s="1"/>
  <c r="L74" i="13" s="1"/>
  <c r="H9" i="37" l="1"/>
  <c r="H7" i="37"/>
  <c r="F6" i="37"/>
  <c r="G6" i="37" s="1"/>
  <c r="H5" i="37"/>
  <c r="F10" i="37"/>
  <c r="G10" i="37" s="1"/>
  <c r="F8" i="37"/>
  <c r="G8" i="37" s="1"/>
  <c r="I78" i="13"/>
  <c r="I138" i="13" s="1"/>
  <c r="I142" i="13" s="1"/>
  <c r="I118" i="13" s="1"/>
  <c r="H10" i="37" l="1"/>
  <c r="H8" i="37"/>
  <c r="H6" i="37"/>
  <c r="I119" i="13"/>
  <c r="I129" i="13" s="1"/>
  <c r="I131" i="13" s="1"/>
  <c r="I123" i="13" s="1"/>
  <c r="I122" i="13" l="1"/>
  <c r="I133" i="13"/>
  <c r="I121" i="13"/>
  <c r="I124" i="13" l="1"/>
  <c r="I143" i="13" s="1"/>
  <c r="I144" i="13" s="1"/>
  <c r="F4" i="37" l="1"/>
  <c r="G4" i="37" s="1"/>
  <c r="G11" i="37" s="1"/>
  <c r="H4" i="37" l="1"/>
  <c r="H11" i="37" s="1"/>
</calcChain>
</file>

<file path=xl/comments1.xml><?xml version="1.0" encoding="utf-8"?>
<comments xmlns="http://schemas.openxmlformats.org/spreadsheetml/2006/main">
  <authors>
    <author>tc={2E41B8FE-80CA-4064-BBFB-A40723C6EE3A}</author>
  </authors>
  <commentList>
    <comment ref="E8" authorId="0" shapeId="0">
      <text>
        <r>
          <rPr>
            <sz val="10"/>
            <rFont val="Arial"/>
            <family val="2"/>
            <charset val="1"/>
          </rPr>
          <t>[Comentário encadeado]
Sua versão do Excel permite que você leia este comentário encadeado, no entanto, as edições serão removidas se o arquivo for aberto em uma versão mais recente do Excel. Saiba mais: https://go.microsoft.com/fwlink/?linkid=870924
Comentário:
    Salário base 2.124,66</t>
        </r>
      </text>
    </comment>
  </commentList>
</comments>
</file>

<file path=xl/comments2.xml><?xml version="1.0" encoding="utf-8"?>
<comments xmlns="http://schemas.openxmlformats.org/spreadsheetml/2006/main">
  <authors>
    <author/>
  </authors>
  <commentList>
    <comment ref="H51" authorId="0" shapeId="0">
      <text>
        <r>
          <rPr>
            <b/>
            <sz val="9"/>
            <color rgb="FF000000"/>
            <rFont val="Segoe UI"/>
            <family val="2"/>
            <charset val="1"/>
          </rPr>
          <t>Percentual que mede o risco da atividade econômica (RAT), (1%, 2% ou 3%).</t>
        </r>
      </text>
    </comment>
    <comment ref="H52"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comments3.xml><?xml version="1.0" encoding="utf-8"?>
<comments xmlns="http://schemas.openxmlformats.org/spreadsheetml/2006/main">
  <authors>
    <author/>
  </authors>
  <commentList>
    <comment ref="H50" authorId="0" shapeId="0">
      <text>
        <r>
          <rPr>
            <b/>
            <sz val="9"/>
            <color rgb="FF000000"/>
            <rFont val="Segoe UI"/>
            <family val="2"/>
            <charset val="1"/>
          </rPr>
          <t>Percentual que mede o risco da atividade econômica (RAT), (1%, 2% ou 3%).</t>
        </r>
      </text>
    </comment>
    <comment ref="H51"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comments4.xml><?xml version="1.0" encoding="utf-8"?>
<comments xmlns="http://schemas.openxmlformats.org/spreadsheetml/2006/main">
  <authors>
    <author/>
  </authors>
  <commentList>
    <comment ref="H54" authorId="0" shapeId="0">
      <text>
        <r>
          <rPr>
            <b/>
            <sz val="9"/>
            <color rgb="FF000000"/>
            <rFont val="Segoe UI"/>
            <family val="2"/>
            <charset val="1"/>
          </rPr>
          <t>Percentual que mede o risco da atividade econômica (RAT), (1%, 2% ou 3%).</t>
        </r>
      </text>
    </comment>
    <comment ref="H55"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comments5.xml><?xml version="1.0" encoding="utf-8"?>
<comments xmlns="http://schemas.openxmlformats.org/spreadsheetml/2006/main">
  <authors>
    <author/>
  </authors>
  <commentList>
    <comment ref="H54" authorId="0" shapeId="0">
      <text>
        <r>
          <rPr>
            <b/>
            <sz val="9"/>
            <color rgb="FF000000"/>
            <rFont val="Segoe UI"/>
            <family val="2"/>
            <charset val="1"/>
          </rPr>
          <t>Percentual que mede o risco da atividade econômica (RAT), (1%, 2% ou 3%).</t>
        </r>
      </text>
    </comment>
    <comment ref="H55"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comments6.xml><?xml version="1.0" encoding="utf-8"?>
<comments xmlns="http://schemas.openxmlformats.org/spreadsheetml/2006/main">
  <authors>
    <author/>
  </authors>
  <commentList>
    <comment ref="H51" authorId="0" shapeId="0">
      <text>
        <r>
          <rPr>
            <b/>
            <sz val="9"/>
            <color rgb="FF000000"/>
            <rFont val="Segoe UI"/>
            <family val="2"/>
            <charset val="1"/>
          </rPr>
          <t>Percentual que mede o risco da atividade econômica (RAT), (1%, 2% ou 3%).</t>
        </r>
      </text>
    </comment>
    <comment ref="H52"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comments7.xml><?xml version="1.0" encoding="utf-8"?>
<comments xmlns="http://schemas.openxmlformats.org/spreadsheetml/2006/main">
  <authors>
    <author/>
  </authors>
  <commentList>
    <comment ref="H51" authorId="0" shapeId="0">
      <text>
        <r>
          <rPr>
            <b/>
            <sz val="9"/>
            <color rgb="FF000000"/>
            <rFont val="Segoe UI"/>
            <family val="2"/>
            <charset val="1"/>
          </rPr>
          <t>Percentual que mede o risco da atividade econômica (RAT), (1%, 2% ou 3%).</t>
        </r>
      </text>
    </comment>
    <comment ref="H52"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comments8.xml><?xml version="1.0" encoding="utf-8"?>
<comments xmlns="http://schemas.openxmlformats.org/spreadsheetml/2006/main">
  <authors>
    <author/>
  </authors>
  <commentList>
    <comment ref="H51" authorId="0" shapeId="0">
      <text>
        <r>
          <rPr>
            <b/>
            <sz val="9"/>
            <color rgb="FF000000"/>
            <rFont val="Segoe UI"/>
            <family val="2"/>
            <charset val="1"/>
          </rPr>
          <t>Percentual que mede o risco da atividade econômica (RAT), (1%, 2% ou 3%).</t>
        </r>
      </text>
    </comment>
    <comment ref="H52" authorId="0" shapeId="0">
      <text>
        <r>
          <rPr>
            <b/>
            <sz val="9"/>
            <color rgb="FF000000"/>
            <rFont val="Segoe UI"/>
            <family val="2"/>
            <charset val="1"/>
          </rPr>
          <t>Fator Acidentário de Prevenção (FAP) que afere o desempenho da empresa, dentro da respectiva atividade econômica. (de 0,5% à 2,0%).</t>
        </r>
      </text>
    </comment>
  </commentList>
</comments>
</file>

<file path=xl/sharedStrings.xml><?xml version="1.0" encoding="utf-8"?>
<sst xmlns="http://schemas.openxmlformats.org/spreadsheetml/2006/main" count="2071" uniqueCount="483">
  <si>
    <t>Discriminação dos Serviços</t>
  </si>
  <si>
    <t>A</t>
  </si>
  <si>
    <t>B</t>
  </si>
  <si>
    <t>Município</t>
  </si>
  <si>
    <t>C</t>
  </si>
  <si>
    <t>Ano do Acordo, Convenção ou Dissídio Coletivo</t>
  </si>
  <si>
    <t>D</t>
  </si>
  <si>
    <t>Nº de meses de execução contratual</t>
  </si>
  <si>
    <t>Identificação do Serviço</t>
  </si>
  <si>
    <t>Tipo de Serviço</t>
  </si>
  <si>
    <t>Unidade de Medida</t>
  </si>
  <si>
    <t>Quantidade total a contratar (em função da unidade de medida)</t>
  </si>
  <si>
    <t>Tipo de serviço (mesmo serviço com características distintas)</t>
  </si>
  <si>
    <t>Classificação Brasileira de Ocupações (CBO)</t>
  </si>
  <si>
    <t>Categoria profissional (vinculada à execução contratual)</t>
  </si>
  <si>
    <t>Data base da categoria (dia/mês/ano)</t>
  </si>
  <si>
    <t>MÓDULO 1 - COMPOSIÇÃO DA REMUNERAÇÃO</t>
  </si>
  <si>
    <t>COMPOSIÇÃO DA REMUNERAÇÃO</t>
  </si>
  <si>
    <t>%</t>
  </si>
  <si>
    <t>VALOR (R$)</t>
  </si>
  <si>
    <t>Salário Base</t>
  </si>
  <si>
    <t>Adicional Insalubridade</t>
  </si>
  <si>
    <t>Adicional Noturno</t>
  </si>
  <si>
    <t>E</t>
  </si>
  <si>
    <t>Adicional de Hora Noturna Reduzida</t>
  </si>
  <si>
    <t>F</t>
  </si>
  <si>
    <t>Outros (especificar)</t>
  </si>
  <si>
    <t>TOTAL DO MÓDULO 1</t>
  </si>
  <si>
    <t>MÓDULO 2 – ENCARGOS E BENEFÍCIOS ANUAIS, MENSAIS E DIÁRIOS</t>
  </si>
  <si>
    <t>Submódulo 2.1 - 13º Salário, Férias e Adicional de Férias</t>
  </si>
  <si>
    <r>
      <t>13 (Décimo-terceiro) salário</t>
    </r>
    <r>
      <rPr>
        <sz val="10"/>
        <color rgb="FFFF0000"/>
        <rFont val="Calibri"/>
        <family val="2"/>
        <charset val="1"/>
      </rPr>
      <t/>
    </r>
  </si>
  <si>
    <t>Férias e Adicional de Férias</t>
  </si>
  <si>
    <t>Incidência do Submódulo 2.2 sobre férias, 1/3 (um terço) constitucional de férias e 13º</t>
  </si>
  <si>
    <r>
      <t>Nota 1:</t>
    </r>
    <r>
      <rPr>
        <i/>
        <sz val="9"/>
        <color rgb="FF000000"/>
        <rFont val="Calibri"/>
        <family val="2"/>
        <charset val="1"/>
      </rPr>
      <t> Como a planilha de custos e formação de preços é calculada </t>
    </r>
    <r>
      <rPr>
        <i/>
        <u/>
        <sz val="9"/>
        <color rgb="FF000000"/>
        <rFont val="Calibri"/>
        <family val="2"/>
        <charset val="1"/>
      </rPr>
      <t>mensalmente</t>
    </r>
    <r>
      <rPr>
        <i/>
        <sz val="9"/>
        <color rgb="FF000000"/>
        <rFont val="Calibri"/>
        <family val="2"/>
        <charset val="1"/>
      </rPr>
      <t>, provisiona-se proporcionalmente 1/12 (um doze avos) dos valores referentes a gratificação natalina, férias e adicional de férias. </t>
    </r>
    <r>
      <rPr>
        <b/>
        <i/>
        <sz val="9"/>
        <color rgb="FF000000"/>
        <rFont val="Calibri"/>
        <family val="2"/>
        <charset val="1"/>
      </rPr>
      <t>(Redação dada pela Instrução Normativa nº 7, de 2018)</t>
    </r>
  </si>
  <si>
    <r>
      <t>Nota 2:</t>
    </r>
    <r>
      <rPr>
        <i/>
        <sz val="9"/>
        <color rgb="FF000000"/>
        <rFont val="Calibri"/>
        <family val="2"/>
        <charset val="1"/>
      </rPr>
      <t> O adicional de férias contido no Submódulo 2.1 corresponde a 1/3 (um terço) da remuneração que por sua vez é divido por 12 (doze) conforme Nota 1 acima.</t>
    </r>
  </si>
  <si>
    <r>
      <t>Nota 3:</t>
    </r>
    <r>
      <rPr>
        <i/>
        <sz val="9"/>
        <color rgb="FF000000"/>
        <rFont val="Calibri"/>
        <family val="2"/>
        <charset val="1"/>
      </rPr>
      <t>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  </t>
    </r>
    <r>
      <rPr>
        <b/>
        <i/>
        <sz val="9"/>
        <color rgb="FF000000"/>
        <rFont val="Calibri"/>
        <family val="2"/>
        <charset val="1"/>
      </rPr>
      <t>(Incluído pela Instrução Normativa nº 7, de 2018)</t>
    </r>
  </si>
  <si>
    <r>
      <t>Nota 4:</t>
    </r>
    <r>
      <rPr>
        <i/>
        <sz val="9"/>
        <color rgb="FF000000"/>
        <rFont val="Calibri"/>
        <family val="2"/>
        <charset val="1"/>
      </rPr>
      <t> Considerando as alíquotas de contribuição de 1% (um por cento), 2% (dois por cento) ou 3% (três por cento) referentes ao grau de risco de acidente do trabalho, previstas no inciso II do art. 22 da Lei no 8.212, de 24 de julho de 1991.</t>
    </r>
  </si>
  <si>
    <t>Submódulo 2.2 - GPS, FGTS e Outras Contribuições</t>
  </si>
  <si>
    <t>INSS</t>
  </si>
  <si>
    <t>Salário Educação</t>
  </si>
  <si>
    <t>SAT (Seguro Acidente de Trabalho)</t>
  </si>
  <si>
    <t>SESC ou SESI</t>
  </si>
  <si>
    <t>SENAI - SENAC</t>
  </si>
  <si>
    <t>SEBRAE</t>
  </si>
  <si>
    <t>G</t>
  </si>
  <si>
    <t>INCRA</t>
  </si>
  <si>
    <t>H</t>
  </si>
  <si>
    <t>FGTS</t>
  </si>
  <si>
    <t>TOTAL SUBMÓDULO 2.2</t>
  </si>
  <si>
    <t>Submódulo 2.3 - Benefícios Mensais e Diários</t>
  </si>
  <si>
    <t>Vl. Unit. (R$)</t>
  </si>
  <si>
    <t>Transporte</t>
  </si>
  <si>
    <t>Auxílio-Refeição/Alimentação</t>
  </si>
  <si>
    <t>Assistência Médica e Familiar</t>
  </si>
  <si>
    <t>TOTAL SUBMÓDULO 2.3</t>
  </si>
  <si>
    <r>
      <t>Nota 1:</t>
    </r>
    <r>
      <rPr>
        <i/>
        <sz val="9"/>
        <color rgb="FF000000"/>
        <rFont val="Calibri"/>
        <family val="2"/>
        <charset val="1"/>
      </rPr>
      <t>O valor informado deverá ser o custo real do benefício (descontado o valor eventualmente pago pelo empregado).</t>
    </r>
  </si>
  <si>
    <r>
      <t>Nota 2:</t>
    </r>
    <r>
      <rPr>
        <i/>
        <sz val="9"/>
        <color rgb="FF000000"/>
        <rFont val="Calibri"/>
        <family val="2"/>
        <charset val="1"/>
      </rPr>
      <t>Observar a previsão dos benefícios contidos em Acordos, Convenções e Dissídios Coletivos de Trabalho e atentar-se ao disposto no art. 6º da IN 05/2017 atualizada.</t>
    </r>
  </si>
  <si>
    <r>
      <t>Nota 3:</t>
    </r>
    <r>
      <rPr>
        <i/>
        <sz val="9"/>
        <color rgb="FFFF0000"/>
        <rFont val="Calibri"/>
        <family val="2"/>
        <charset val="1"/>
      </rPr>
      <t>Caso a empresa informe que possui benefício do PAT e queira descontar um percentual do auxílio-alimentação, esta deve apresentar comprovação.</t>
    </r>
  </si>
  <si>
    <r>
      <t>Nota 4:</t>
    </r>
    <r>
      <rPr>
        <i/>
        <sz val="9"/>
        <color rgb="FFFF0000"/>
        <rFont val="Calibri"/>
        <family val="2"/>
        <charset val="1"/>
      </rPr>
      <t>O SAT varia conforme o serviço e conforme a empresa. É necessária a apresentação de comprovaão.</t>
    </r>
  </si>
  <si>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</si>
  <si>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</si>
  <si>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</si>
  <si>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</si>
  <si>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</si>
  <si>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</si>
  <si>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</si>
  <si>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</si>
  <si>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</si>
  <si>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t>MÓDULO 3 – PROVISÃO PARA RESCISÃO</t>
  </si>
  <si>
    <t>PROVISÃO PARA RESCISÃO</t>
  </si>
  <si>
    <t>Aviso Prévio Indenizado</t>
  </si>
  <si>
    <t>Incidência do FGTS sobre Aviso Prévio Indenizado</t>
  </si>
  <si>
    <t>Aviso Prévio Trabalhado</t>
  </si>
  <si>
    <t>Incidência dos encargos do submódulo 2.2 sobre Aviso Prévio Trabalhado</t>
  </si>
  <si>
    <t>TOTAL DO MÓDULO 3</t>
  </si>
  <si>
    <t>MÓDULO 4 – CUSTO DE REPOSIÇÃO DO PROFISSIONAL AUSENTE</t>
  </si>
  <si>
    <t>Submódulo 4.1 - Ausências Legais</t>
  </si>
  <si>
    <t>Substituto na cobertura de Outras ausências (especificar)</t>
  </si>
  <si>
    <t>TOTAL SUBMÓDULO 4.1</t>
  </si>
  <si>
    <t>Submódulo 4.2 - Intrajornada</t>
  </si>
  <si>
    <t>Substituto na cobertura de Intervalo para Repouso ou Alimentação</t>
  </si>
  <si>
    <t>TOTAL SUBMÓDULO 4.2</t>
  </si>
  <si>
    <t>QUADRO-RESUMO DO MÓDULO 4 - CUSTO DE REPOSIÇÃO DO PROFISSIONAL AUSENTE</t>
  </si>
  <si>
    <t>Módulo 4 - Custo de Reposição do Profissional Ausente</t>
  </si>
  <si>
    <t>4.1</t>
  </si>
  <si>
    <t>Ausências Legais</t>
  </si>
  <si>
    <t>4.2</t>
  </si>
  <si>
    <t>Intrajornada</t>
  </si>
  <si>
    <t>TOTAL DO MÓDULO 4</t>
  </si>
  <si>
    <t>MÓDULO 5 – INSUMOS DIVERSOS</t>
  </si>
  <si>
    <t>INSUMOS DIVERSOS</t>
  </si>
  <si>
    <t>Uniformes</t>
  </si>
  <si>
    <t>-</t>
  </si>
  <si>
    <t>TOTAL DO MÓDULO 5</t>
  </si>
  <si>
    <t>MÓDULO 6 – CUSTOS INDIRETOS, TRIBUTOS E LUCRO</t>
  </si>
  <si>
    <t>CUSTOS INDIRETOS, TRIBUTOS E LUCRO</t>
  </si>
  <si>
    <t>Custos Indiretos</t>
  </si>
  <si>
    <t>Lucro</t>
  </si>
  <si>
    <t>TRIBUTOS</t>
  </si>
  <si>
    <t>C.1</t>
  </si>
  <si>
    <t>PIS</t>
  </si>
  <si>
    <t>C.2</t>
  </si>
  <si>
    <t>COFINS</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</si>
  <si>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</si>
  <si>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</si>
  <si>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</si>
  <si>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</si>
  <si>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</si>
  <si>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</si>
  <si>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</si>
  <si>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</si>
  <si>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</si>
  <si>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</si>
  <si>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</si>
  <si>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</si>
  <si>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Módulos (1+2+3+4+5)</t>
  </si>
  <si>
    <t>PREÇO TOTAL POR EMPREGADO</t>
  </si>
  <si>
    <t>TOTAL</t>
  </si>
  <si>
    <t>BRASÍLIA/DF</t>
  </si>
  <si>
    <t>PERCURSO</t>
  </si>
  <si>
    <t>QTD ESTIMADA MENSAL PARA CADA EMPREGADO</t>
  </si>
  <si>
    <t xml:space="preserve">Residência / Trabalho </t>
  </si>
  <si>
    <t xml:space="preserve">Trabalho / Residência </t>
  </si>
  <si>
    <t>CATEGORIA</t>
  </si>
  <si>
    <t>CUSTO DO VALE TRANSPORTE</t>
  </si>
  <si>
    <t>CUSTO UNITÁRIO</t>
  </si>
  <si>
    <t>DESCRIÇÃO</t>
  </si>
  <si>
    <t>QTD. ANUAL</t>
  </si>
  <si>
    <t>Art. 6º A Administração não se vincula às disposições contidas em Acordos, Convenções ou Dissídios Coletivos de Trabalho que tratem de pagamento de participação dos trabalhadores nos lucros ou resultados da empresa contratada, de matéria não trabalhista, ou que estabeleçam direitos não previstos em lei, tais como valores ou índices obrigatórios de encargos sociais ou previdenciários, bem como de preços para os insumos relacionados ao exercício da atividade.
Parágrafo único. É vedado ao órgão e entidade vincular-se às disposições previstas nos Acordos, Convenções ou Dissídios Coletivos de Trabalho que tratem de obrigações e direitos que somente se aplicam aos contratos com a Administração Pública.</t>
  </si>
  <si>
    <t>SUBTOTAL</t>
  </si>
  <si>
    <t>PLANILHA SINTÉTICA DE CUSTOS E FORMAÇÕES DE PREÇO - MEMÓRIA DE CÁLCULO/JUSTIFICATIVAS</t>
  </si>
  <si>
    <t>MÓDULO 1: COMPOSIÇÃO DA REMUNERAÇÃO</t>
  </si>
  <si>
    <t>Memória de Cálculo/Fundamento</t>
  </si>
  <si>
    <t>Artigo 457 e 458 da CLT.</t>
  </si>
  <si>
    <t>Adicional de Periculosidade</t>
  </si>
  <si>
    <t>Salário Base x 30% - Artigo 193 a 197 da CLT, art. 7°, inciso XXIII da CF e NR 16  do M.T.E</t>
  </si>
  <si>
    <t>Adicional de Insalubridade</t>
  </si>
  <si>
    <t>Salário Mínimo x 20%, salvo o estipulação espressa na CCT - Artigo 189 a 192 da CLT (10%, 20% ou 40%) da  NR 15  do M.T.E e a Lei nº 5.452 da CLT.</t>
  </si>
  <si>
    <t>Adiconal Noturno</t>
  </si>
  <si>
    <t>(Salário base + adicionais previstos em lei ou CCT, se houver) / 220h (conforme jornada de trabalho da categoria) x 22,5%(de acordo com a CCT) x qte. De horas noturnas x qtde de dias trabalhados no mês) - Artigo73 da CLT e artigo 7°, inciso IX da CF, súmula n° 60, II.</t>
  </si>
  <si>
    <t>Hora Noturna Adicional</t>
  </si>
  <si>
    <t>(Salário base + adicionais previstos em lei ou CCT, se houver) / 220h (conforme jornada de trabalho da categoria) x aliquota da hora noturna adicional x qte.  De horas noturna adicionais) - Artigo73 da CLT, súmula n° 60, II.</t>
  </si>
  <si>
    <t>Hora Extra no Feriado Trabalhado</t>
  </si>
  <si>
    <t>(Salário base + adicionais previstos em lei ou CCT, se houver) / 220h (conforme jornada de trabalho da categoria) x qte.  De horas diárias (limitada a 10horas, conforme súmula 444 TST) x qte. De feriados x parcela trabalhada / 12 meses) - Súmula 444 do TST.</t>
  </si>
  <si>
    <t>MÓDULO 2 - ENCARGOS E BENEFÍCIOS ANUAIS, MESNAIS E DIÁRIOS</t>
  </si>
  <si>
    <t>DADOS (%)</t>
  </si>
  <si>
    <t>Memória de Cálculo</t>
  </si>
  <si>
    <t>13º (décimo terceiro) Salário</t>
  </si>
  <si>
    <t>((1/12)x100)=8,33% - Art. 7°, VIII, CF/88; IN CJF 01/2016, art. 7°.</t>
  </si>
  <si>
    <t>SUBTOTAL:</t>
  </si>
  <si>
    <t>Subtotal do Submódulo 2.1 = 23,43% x Subtotak do Submódulo 2.2 = 7,31%</t>
  </si>
  <si>
    <t>TOTAL DO SUBMÓDULO 2.1</t>
  </si>
  <si>
    <t>(Art. 22, inciso I, da Lei nº 8.212/91)</t>
  </si>
  <si>
    <t>(Lei nº 9.424/96, 9.766/98, Decreto3.142/99 e Art.212§5º CF)</t>
  </si>
  <si>
    <t>SAT</t>
  </si>
  <si>
    <t>(Lei nº 8.212/91, Lei 10.666/03); (SATxFAP) = 2,00x0,99=1,98%</t>
  </si>
  <si>
    <t>(Art. 30 da Lei nº 8.036/90)</t>
  </si>
  <si>
    <t>(Decreto-Lei nº 8.621/46, Lei nº 2.318/86)</t>
  </si>
  <si>
    <t>(IN RFB nº 938/09)</t>
  </si>
  <si>
    <t>(Decreto-Lei nº 1.146/70/46, Lei nº 2.613/55)</t>
  </si>
  <si>
    <t>(Art. 15 da Lei  nº 8.036/90, Art.7º, §3º da CF)</t>
  </si>
  <si>
    <t>Artigo 4°. Inciso único, da lei n° 7.418/85 e art. 9° do Decreto n° 95.247/87</t>
  </si>
  <si>
    <t>Auxilio-Refeição/Alimentação</t>
  </si>
  <si>
    <t xml:space="preserve">Artigo 458, §§ 2° e 3°, da CLT, lei n° 6.321/76, decreto n° 5/91 e CCT.  </t>
  </si>
  <si>
    <t>Conforme CCT</t>
  </si>
  <si>
    <t>Assistência Odontologica</t>
  </si>
  <si>
    <t>Auxílio creche</t>
  </si>
  <si>
    <t>Seguro de vida, invalidez e funeral (conforme previsto na CCT)</t>
  </si>
  <si>
    <t>TOTAL MÓDULO 2:</t>
  </si>
  <si>
    <t>MÓDULO 3: PROVISÃO DE RECISÃO</t>
  </si>
  <si>
    <t>Aviso prévio indenizado</t>
  </si>
  <si>
    <t>Incidência do FGTS sobre aviso prévio indenizado</t>
  </si>
  <si>
    <t>Multa sobre FGTS e contribuições sociais sobre o aviso prévio indenizado</t>
  </si>
  <si>
    <t>Aviso prévio trabalhado</t>
  </si>
  <si>
    <t>Incidência dos encargos do submódulo 4.1 sobre aviso prévio trabalhado</t>
  </si>
  <si>
    <t>Multa sobre FGTS e contribuições sociais sobre o aviso prévio trabalhado</t>
  </si>
  <si>
    <t>TOTAL MÓDULO 3:</t>
  </si>
  <si>
    <t>MÓDULO 4: CUSTO DE REPOSIÇÃO DO PROFISSIONAL AUSENTE</t>
  </si>
  <si>
    <t xml:space="preserve">SUBMÓDULO 4.1 - AUSÊNCIAS LEGAIS </t>
  </si>
  <si>
    <t>DADOS</t>
  </si>
  <si>
    <t>Artigos 7°, inciso XIX, da CF/88 elO, § 1°, da CLT. Para o calculo ultilizamos os dados estatísticos de 1,5% se tornam pais. ((5/30)/12) x 0,015 x 100 = 0,02%</t>
  </si>
  <si>
    <t>TOTAL SUBMÓDULO 4.1:</t>
  </si>
  <si>
    <t xml:space="preserve">SUBMÓDULO 4.2 - INTRAJORNADA </t>
  </si>
  <si>
    <t>Intervalo para Repouso ou Alimentação</t>
  </si>
  <si>
    <t xml:space="preserve"> Artigo 71 do Decreto de Lei nº 5.452 de 01 de Maio de 1943. </t>
  </si>
  <si>
    <t>TOTAL SUBMÓDULO 4.2:</t>
  </si>
  <si>
    <t>TOTAL MÓDULO 4:</t>
  </si>
  <si>
    <t>QUADRO RESUMO</t>
  </si>
  <si>
    <t xml:space="preserve"> 4: ENCARGOS SOCIAIS E TRABALHISTAS</t>
  </si>
  <si>
    <t>MÓDULO 2</t>
  </si>
  <si>
    <t>MÓDULO 3</t>
  </si>
  <si>
    <t>4.3</t>
  </si>
  <si>
    <t>MÓDULO 4</t>
  </si>
  <si>
    <t>4.6</t>
  </si>
  <si>
    <t>TOTAL DOS ENCARGOS SOCIAIS</t>
  </si>
  <si>
    <t>De acordo com o art 27 do Decreto nº 89.312, de 23/01/84, obriga o empregador a assumir ônus financeiro pelo prazo de 15 dias, em caso de acidente de trabalho previsto no art. 131 da CLT. Baseados em informações prestadas pelos empregadores por meio da GFIP ao MPAS, cerca de 0,78% de empregados se acidentam no ano. (15/30/12)*0,78%)*100=0,03</t>
  </si>
  <si>
    <t>Artigos, 7°, inciso XXI, da CF/88, 477, 487 e 491 da CLT, considerando a redução da jornada de trabalho de 7 dias. ((7/30)/12 x 100 = 1,94%</t>
  </si>
  <si>
    <t>FGTS 8% x o item A do submódulo 4.4</t>
  </si>
  <si>
    <t>EQUIPAMENTOS</t>
  </si>
  <si>
    <t>ITEM</t>
  </si>
  <si>
    <t>Unidade</t>
  </si>
  <si>
    <t xml:space="preserve">Qt. </t>
  </si>
  <si>
    <t>Preço Unitário</t>
  </si>
  <si>
    <t>Valor Total</t>
  </si>
  <si>
    <t>Plaquetas de idenfificação com o nome das recepcionistas</t>
  </si>
  <si>
    <t xml:space="preserve"> VALOR MENSAL </t>
  </si>
  <si>
    <t>RATEADO</t>
  </si>
  <si>
    <t>DEPRECIAÇÃO</t>
  </si>
  <si>
    <t>VALOR TOTAL</t>
  </si>
  <si>
    <t>QUANT ANUAL</t>
  </si>
  <si>
    <t>SUBTOTAL ANUAL</t>
  </si>
  <si>
    <t>Assistência Odontológica</t>
  </si>
  <si>
    <t>Outros (Relógio de Ponto)</t>
  </si>
  <si>
    <t>RELOGIO DE PONTO</t>
  </si>
  <si>
    <t>MATERIAL</t>
  </si>
  <si>
    <t>UNID. DE MEDIDA</t>
  </si>
  <si>
    <t>QTD.</t>
  </si>
  <si>
    <t>CUSTO UNITÁRIO (R$)</t>
  </si>
  <si>
    <t>CUSTO ANUAL TOTAL (R$)</t>
  </si>
  <si>
    <t>CUSTO MENSAL TOTAL (R$)</t>
  </si>
  <si>
    <t>Relógio de ponto biométrico</t>
  </si>
  <si>
    <t>Un.</t>
  </si>
  <si>
    <t>Quantidade de Profissionais para rateio dos custos</t>
  </si>
  <si>
    <t>Valor Mensal rateado por profissional</t>
  </si>
  <si>
    <t>PLANILHA DE CUSTO DE MATERIAS SOB DEMANDA</t>
  </si>
  <si>
    <t xml:space="preserve">ITEM </t>
  </si>
  <si>
    <t>ALIMENTOS</t>
  </si>
  <si>
    <t xml:space="preserve">UNIDADE DE MEDIDA </t>
  </si>
  <si>
    <t>VALOR UNIT. MÉDIO</t>
  </si>
  <si>
    <t>VALOR UNIT. X BDI</t>
  </si>
  <si>
    <t>VALOR UNIT. ESTIMADO COM TRIBUTOS</t>
  </si>
  <si>
    <t>VALOR ANUAL ESTIMADO COM TRIBUTOS</t>
  </si>
  <si>
    <t>VALOR ANUAL ESTIMADO SEM CONSIDERAR OS TRIBUTOS</t>
  </si>
  <si>
    <t>D=(B+C)</t>
  </si>
  <si>
    <t>E=(DxA)</t>
  </si>
  <si>
    <t>Açúcar cristal especial acondicionada em pacotes de com 5 (cinco) quilos</t>
  </si>
  <si>
    <t>PACOTE</t>
  </si>
  <si>
    <t>Adoçante em frasco de 100ml, com ou sem aspartame</t>
  </si>
  <si>
    <t>UNID.</t>
  </si>
  <si>
    <t xml:space="preserve">Café torrado e moido, elaborado em conformidade com a Resolução 277 de 22/09/05 da ANVISA – Agência Nacional de Vigilância Sanitária, segundo os padrões estabelecidos pela Norma de Qualidade Recomendável ABIC/PQC de 28/04/2004 – Associação Brasileira da Indústria de Café, e de acordo com as seguintes características: 100% ARÁBICA - embalagem almofada ou a vácuo - quinhentas gramas </t>
  </si>
  <si>
    <t>KG</t>
  </si>
  <si>
    <t>Café torrado em grão superior, elaborado em conformidade com a Resolução 277 de 22/09/05 da ANVISA – Agência Nacional de Vigilância Sanitária, segundo os padrões estabelecidos pela Norma de Qualidade Recomendável ABIC/PQC de 28/04/2004 – Associação Brasileira da Indústria de Café, e 100% ARÁBICO . QUILO</t>
  </si>
  <si>
    <t>Chá para alimentação, caixa do 10 (dez) sachês, sabores: hortelã, verde, camomila, maçã com canela, erva cidreira, morango, mate tradicional ( pesquisa em midia de grande circulação)</t>
  </si>
  <si>
    <t>CAIXA COM 10 SACHÊS</t>
  </si>
  <si>
    <t>MATERIAS DE LIMPEZA</t>
  </si>
  <si>
    <t>Agua sanitária litro</t>
  </si>
  <si>
    <t>Detergente liquido, neutro biodegradável, sistema push pull procedimentos de acordo com as normas regulamentares do Ministério da Saúde, - 500ml</t>
  </si>
  <si>
    <t>Detergente Multiuso – 500ml.</t>
  </si>
  <si>
    <t>Esponja de espuma - dupla face</t>
  </si>
  <si>
    <t>Lã de aço pacote com 08 unid.</t>
  </si>
  <si>
    <t>PCT.</t>
  </si>
  <si>
    <t>Luva de borracha para lidar com alimentos - caixa com 100 unidades</t>
  </si>
  <si>
    <t>CAIXA</t>
  </si>
  <si>
    <t>Mascara para lidar com alimentos - caixa com 100 unidades</t>
  </si>
  <si>
    <t>Pano de prato em algodão</t>
  </si>
  <si>
    <t>Pano saco alvejado</t>
  </si>
  <si>
    <t>Porta sabão e esponja</t>
  </si>
  <si>
    <t>Rodo em plastico medindo 40cm com borracha dupla e cabo em madeira revestido, minimo 1,30m</t>
  </si>
  <si>
    <t>Rolo Pano Multiuso Tipo Perfex 45g Picotado 30m</t>
  </si>
  <si>
    <t>ROLO COM 30 MTS</t>
  </si>
  <si>
    <t>Sabão em barra glicerinado – 200gr. Pact com 05 unidades</t>
  </si>
  <si>
    <t>Sabão em pó 1Kg</t>
  </si>
  <si>
    <t>VASILHAMES E ACESSÓRIOS</t>
  </si>
  <si>
    <t>Açucareiro em inox , com pá e tampa articulada cap. 300gr.</t>
  </si>
  <si>
    <t>Caneco (leiteira) em aluminio, com borda e bico, com alça em madeira ou plastico, com capacidade de 3,5 litros</t>
  </si>
  <si>
    <t>Coador para máquina de café (conforme tamanhos das maquinas instaladas)</t>
  </si>
  <si>
    <t>coletor de copo descartável agua, capacidade 100 copos</t>
  </si>
  <si>
    <t>coletor de copo descartável café, capacidade 100 copos</t>
  </si>
  <si>
    <t>Colher em aço inox para café</t>
  </si>
  <si>
    <t>Colher em aço inox para chá</t>
  </si>
  <si>
    <t>Colher em plastico, para caldeirão, com aproximadamente 40cm</t>
  </si>
  <si>
    <t>Copo descartável, poliestireno não tóxico, de 200 ml, na cor branca, corpo frisado, bordas arredondadas, peso mínimo de 2,2 gramas de acordo com a NBR 14856. Acondicionado em sacos plásticos, lacrados contendo 100 unidades cada um.</t>
  </si>
  <si>
    <t>Copo descartável, poliestireno não tóxico, de 50ml, não tóxico, na cor branca, corpo frisado, bordas arredondadas, peso mínimo de 2,2gr, de acordo com a NBR 14856. Acondicionado em sacos plásticos, lacrados contendo 100 unidades cada um.</t>
  </si>
  <si>
    <t>Copo meio cristal liso para água, transparente, cilíndrico, com aproximadamente 14 cm de altura, 7 cm de diâmetro de boca, com capacidade para aproximadamente 360 ml, fundo reforçado.</t>
  </si>
  <si>
    <t>Forro emborrachado na cor branca, para bandejas redondas de 35 cm de diametro.</t>
  </si>
  <si>
    <t>Forro emborrachado na cor branca, para bandejas redondas de 45 cm de diametro.</t>
  </si>
  <si>
    <t>Garrafa térmica de mesa na cor preta, capacidade 01 (um) litro, revestimento externo em polipropileno e ampola de vidro, formada por duas paredes de vidros espelhados com prata e separadas por alto vácuo,sistema de pressão (bomba) anti pingo, conservação de liquidos frios e quentes, com garantia de conservação de temperatura de no minimo 6 horas.</t>
  </si>
  <si>
    <t>Garrafa térmica de mesa, revestimento externo em inox, com ampola de vidro, com capacidade para 1,8 litro, sistema de pressão (bomba) anti pingo, conservação de liquidos frios e quentes, com garantia de conservação de temperatura de 6 horas.</t>
  </si>
  <si>
    <t>Garrafa térmica para eventos no auditório, com capacidade de 2,5 litros, revestida em inox escovado, com ampola de vidro, sistema de pressão (bomba) anti pingos, garantia de conservação de temperatura de 12 horas.</t>
  </si>
  <si>
    <t>Jarra em inox com tampa articulada 2 litros e alça.</t>
  </si>
  <si>
    <t>Jarra em vidro meio cristal, com tampa, minimo 02 litros, com alça.</t>
  </si>
  <si>
    <t>Pote guarda mantimentos em alumínio cap. 05 litros</t>
  </si>
  <si>
    <t>Pote guarda mantimentos em alumínio cap. 10 litros</t>
  </si>
  <si>
    <t>apoio para copo em aço inox</t>
  </si>
  <si>
    <t>Xícara com pires, para café, com capacidade de 50 ml, em porcelana de 1ª linha branca.</t>
  </si>
  <si>
    <t>Xícara com pires, para chá, com capacidade de 150 ml, em porcelana de 1ª linha branca.</t>
  </si>
  <si>
    <t xml:space="preserve">TOTAL </t>
  </si>
  <si>
    <t>PLANILHA RESUMO DOS MATERIAIS SOB DEMANDA, CONSIDERANDO O CÁLCULO DO BDI</t>
  </si>
  <si>
    <t>PLANILHA RESUMO SEM BDI CONSIDERANDO OS TRIBUTOS PARA MATERIAS COMPLEMENTARES</t>
  </si>
  <si>
    <t>Nº</t>
  </si>
  <si>
    <t>MATERIAL DE LIMPEZA</t>
  </si>
  <si>
    <t>VALOR ANUAL ESTIMADO</t>
  </si>
  <si>
    <t>VALOR  MENSAL ESTIMADO</t>
  </si>
  <si>
    <t>TABELA DE BDI</t>
  </si>
  <si>
    <t>Item</t>
  </si>
  <si>
    <t>Custo Indireto / Despesas Administrativas</t>
  </si>
  <si>
    <t>Lucro Bruto</t>
  </si>
  <si>
    <t>Tributos</t>
  </si>
  <si>
    <t xml:space="preserve">QTD. </t>
  </si>
  <si>
    <t>VALOR UNIT. ESTIMADO</t>
  </si>
  <si>
    <t>VALOR UNITÁRIO ESTIMADO</t>
  </si>
  <si>
    <t>VALOR RESIDUAL DO BEM AO FINAL DO PERILDO (10%)</t>
  </si>
  <si>
    <t>VIDA ÚTIL DO EQUIPAMENTO  (10 ANOS)</t>
  </si>
  <si>
    <t xml:space="preserve">VALOR DO BEM DEPRECIADO AO MÊS </t>
  </si>
  <si>
    <t>C= AxB</t>
  </si>
  <si>
    <t>F= (CxD)/E</t>
  </si>
  <si>
    <t>Carrinho para servir cha/café, em aço, rodas solidas, tres prateleiras ajustaveis, cobertura em polipropileno</t>
  </si>
  <si>
    <t>Carrinho em aço, para transporte de garrafão de água de 20 (vinte) litros, capacidade para 4 (quatro) garrafões, equipados com 2 rodas pneumáticas reforçadas, medidas: 1300X800MM, incluindo manutenção corretiva e
preventiva</t>
  </si>
  <si>
    <t>Carrinho inteiriço em aço, para transporte de cargas, tipo armazem, capacidade minima de carga de 120 quilos, em aço tubular, pintura epóx padrao cinza, rodas macicas de 12", dimensoes minimas (a x l x c) cm 1.300x230x360 incluindo manutençao preventiva e corretiva</t>
  </si>
  <si>
    <t>Maquina para café expresso elétrica, 220 volts, para uso exclusivo de café em grãos, Recipiente de grão de 350 gramas, removível; Reservatório de água 1,7litros, removível; Reservatório de borras de café de 15 borras,
removível; • Potência: 1.250 W; Pressão: 15 bar; Moinho Ajustável e removível; Função Aroma Vaporizador, com saida de água quent</t>
  </si>
  <si>
    <t>VALOR DA DEPRECIAÇÃO MENSAL MENSAL POR EMPREGADO 20 COPEIRAS + 9 GRAÇONS + 6 CARREGADORES</t>
  </si>
  <si>
    <t>Auxílio Funeral</t>
  </si>
  <si>
    <t>QUANT SEMESTRAL</t>
  </si>
  <si>
    <t>VALOR UNIT</t>
  </si>
  <si>
    <t>Assistência Médica</t>
  </si>
  <si>
    <t xml:space="preserve">Data </t>
  </si>
  <si>
    <t xml:space="preserve">VALOR ANUAL </t>
  </si>
  <si>
    <t>Cidade</t>
  </si>
  <si>
    <t>MINISTÉRIO DA AGRICULTURA, PECUÁRIA E ABASTECIMENTO</t>
  </si>
  <si>
    <t>SECRETARIA-EXECUTIVA</t>
  </si>
  <si>
    <t>DEPARTAMENTO DE ADMINISTRAÇÃO</t>
  </si>
  <si>
    <t xml:space="preserve">CUSTO ESTIMADO DO RELÓGIO DE PONTO BIOMÉTRICO </t>
  </si>
  <si>
    <t>PEÇAS DO UNIFORME</t>
  </si>
  <si>
    <t>UNIDADE DE FORNECIMENTO</t>
  </si>
  <si>
    <t>Und</t>
  </si>
  <si>
    <t>Par</t>
  </si>
  <si>
    <t>Salário Nominativo da Categoria Profissional</t>
  </si>
  <si>
    <t xml:space="preserve">CUSTO UNITÁRIO </t>
  </si>
  <si>
    <t xml:space="preserve">CUSTO ANUAL TOTAL </t>
  </si>
  <si>
    <t>CUSTO MENSAL TOTAL</t>
  </si>
  <si>
    <t>Dados para Composição dos Custos Referentes à Mão-de-Obra</t>
  </si>
  <si>
    <t>Fontes</t>
  </si>
  <si>
    <t>https://www.lojasrenner.com.br/p/calca-jeans-reta-lisa/-/A-547682092-br.lr?sku=547682148&amp;gclid=EAIaIQobChMIsPaup8b75QIVl4aRCh32iQ_6EAkYASABEgKHLPD_BwE</t>
  </si>
  <si>
    <t>https://www.americanas.com.br/produto/45982658/calca-jeans-masculina-basica-trabalho?chave_search=acproduct&amp;cor=Azul%20Escuro&amp;tamanho=&gt;</t>
  </si>
  <si>
    <t>https://www.lojasrenner.com.br/p/tenis-masculino-em-lona/-/A-545695746-br.lr?sku=545695818&amp;gclid=EAIaIQobChMIoa6C2sb75QIVh4WRCh0ZSAqTEAkYBSABEgLN4PD_BwE</t>
  </si>
  <si>
    <t>https://www.rstextil.com.br/polo-bordada-direito?gclid=EAIaIQobChMI__Hl1cT75QIViAqRCh0iFQ7BEAYYAiABEgIjuPD_BwE</t>
  </si>
  <si>
    <t>https://www.drluvas.com.br/Luva-Latex-de-Procedimento-Supermax?gclid=EAIaIQobChMI_KP928f75QIVyAaRCh0Jug0iEAkYASABEgIW_vD_BwE</t>
  </si>
  <si>
    <t>https://www.oceanob2b.com/mascara-descartavel-tnt-elastico-prevemax-pacote-100-unidades-p1003380?tsid=109&amp;gclid=EAIaIQobChMIu87Egsj75QIVjoeRCh33cQyQEAkYBiABEgK5h_D_BwE</t>
  </si>
  <si>
    <t>https://www.cirurgicasaudeonline.com.br/jaleco-masculino-oxford-longo-manga-curta/p?idsku=909&amp;gclid=EAIaIQobChMIwtfQ9cj75QIVkIeRCh3jugJuEAkYAyABEgL5vvD_BwE</t>
  </si>
  <si>
    <t>{[(1/12x4)+(1/12x4)+1/3x1/12x4)]/12x0,0025}x100=0,02% -  CCT SINDISERVIÇOS 2019</t>
  </si>
  <si>
    <t>Substituto na cobertura de Férias</t>
  </si>
  <si>
    <t>Substituto na cobertura de Ausências Legais</t>
  </si>
  <si>
    <t>Substituto na cobertura de Licença-Paternidade</t>
  </si>
  <si>
    <t xml:space="preserve">Substituto na cobertura de Ausência por acidente de trabalho
</t>
  </si>
  <si>
    <t>Substituto na cobertura de Afastamento Maternidade</t>
  </si>
  <si>
    <t xml:space="preserve">Substituto nas Ausências Legais </t>
  </si>
  <si>
    <t xml:space="preserve">Substituto na Intrajornada </t>
  </si>
  <si>
    <t>PLANILHA DE CUSTO E FORMAÇÃO DE PREÇOS ESTIMADOS</t>
  </si>
  <si>
    <t xml:space="preserve">CUSTO MENSAL </t>
  </si>
  <si>
    <t xml:space="preserve">CUSTO UNITÁRIO DA TARIFA </t>
  </si>
  <si>
    <t>Para as categorias de Secretariado e Auxiliar Administrativo e os preços unitários foram obtidos em consulta no Edital do PE nº 40/2019 - CNJ (UASG: 40003) publicado em 19/11/19</t>
  </si>
  <si>
    <t>Para as demais categorias o preços unitários foram obtidos em pesquisa na internel - Data de acesso: 21/11/ às 10h00, conforme link abaixo:</t>
  </si>
  <si>
    <t xml:space="preserve">UNID. </t>
  </si>
  <si>
    <t>PARECER n. 0000412017/CPLCIPGF/AGU, de 27/03/2017</t>
  </si>
  <si>
    <t>PARECER n. 0000412017/CPLCIPGF/AGU, de 27/03/2018</t>
  </si>
  <si>
    <t>PARECER n. 0000412017/CPLCIPGF/AGU, de 27/03/2019</t>
  </si>
  <si>
    <t>Terço constitucional de férias e 13º salário do ferista (3,03% + 8,33%) / 12 = 0,95%</t>
  </si>
  <si>
    <t>art. 473 da CLT descreve as motivações de faltas de empregados ao serviço sem que haja prejuízo do salário correspondente. São eles: Por morte do cônjuge, ascendente ou descendente  02 dias; Registro de nascimento de filho  01 dia;  Casamento  03 dias; Doação de sangue  01 dia;  Alistamento eleitoral  02 dias;  Exigência do serviço militar  01 dia. Artigos 473, incisos I a IX, e 822 do Decreto-Lei 5.452/1943 - CLT. Considerando o dado estatístico de 1 ausencia no ano, temos ((1/30)/12) x 100 = 0,28%</t>
  </si>
  <si>
    <t xml:space="preserve">Para órgão que trabalham com Conta Vinculada - Anexo XII da IN 05/2017                           (9,075%) + Adicional de Férias (3,025%)=12,10% </t>
  </si>
  <si>
    <t>1º ANO:
((1+1/3)/12)/12) = 0,93% (Conta vinculada)</t>
  </si>
  <si>
    <t>(5,55%) x (1/12) = 0,46% incide sobre a base de cálculo.
OBS:
5,55% = dado estatístico, em regra, utilizado. Ler o Acórdão TCU nº 1.904/2007.
1/12= (1 mês não trabalhado/12 meses)</t>
  </si>
  <si>
    <t xml:space="preserve">Para os órgão que trabalham com conta vinculada a soma das multas do FGTS (itens C +F) deve ser igual a 5% </t>
  </si>
  <si>
    <t>(Submódulo 2.2 x 1,94%)*100</t>
  </si>
  <si>
    <r>
      <t xml:space="preserve">(Remuneração + 13º salário + Férias + Adicional de férias) x 50% multa x 8% Fgts x 0,9 x 0,5 = 2,15  
1 Remuneração + 0,0833 13º Salário + 0,0833 Férias + 0,0278 Adic.Férias) x 0,5 Multa x 0,08 FGTS x 0,9 x 0,5 = 2,15                                                                                                              </t>
    </r>
    <r>
      <rPr>
        <b/>
        <sz val="10"/>
        <color theme="1"/>
        <rFont val="Calibri"/>
        <family val="2"/>
        <scheme val="minor"/>
      </rPr>
      <t xml:space="preserve">OBS: Para os órgão que trabalham com conta vinculada a soma das multas do FGTS (itens C +F) deve ser igual a 5% </t>
    </r>
  </si>
  <si>
    <t>SUPERVISOR</t>
  </si>
  <si>
    <t>posto 16</t>
  </si>
  <si>
    <t>posto 12</t>
  </si>
  <si>
    <t>VIGILANTE MOTORIZADO DIURNO</t>
  </si>
  <si>
    <t>posto 3</t>
  </si>
  <si>
    <t>posto 1</t>
  </si>
  <si>
    <t>VIGILANTE MOTORIZADO NOTURNO</t>
  </si>
  <si>
    <t>posto 2</t>
  </si>
  <si>
    <t>VIGILANTE 44 HORAS SEMANAIS</t>
  </si>
  <si>
    <t>Vigilante 44 horas</t>
  </si>
  <si>
    <t>Camisa de mangas curtas, com o distintivo bordado no bolso</t>
  </si>
  <si>
    <t>Bota ou sapato de segurança, coturno com solado de borracha</t>
  </si>
  <si>
    <t>Par de meias</t>
  </si>
  <si>
    <t>Cinto de nylon</t>
  </si>
  <si>
    <t>Boina/Quepe com emblema</t>
  </si>
  <si>
    <t> Jaqueta para frio com emblema da empresa</t>
  </si>
  <si>
    <t>Capa de chuva de Plástica de cor preta com faixas ﬂuorescentes</t>
  </si>
  <si>
    <t>Calça comprida com bolso lateral</t>
  </si>
  <si>
    <t>Gravata -Em tecido liso de cor preta, 100% poliéster ou 100% seda</t>
  </si>
  <si>
    <t>Camisa - Mangas compridas com punho simples, Bolso na parte superior do lado esquerdo, sobreposto</t>
  </si>
  <si>
    <t>Cinto - Masculino em couro, constituído de 1 (uma) face na cor preta sem costura, ﬁvela em metal, com garra regulável</t>
  </si>
  <si>
    <t>Sapato -Tipo social de cor preta</t>
  </si>
  <si>
    <t>Meias - Tipo social de cor preta</t>
  </si>
  <si>
    <t>Capa de Chuva-  Plástica de cor preta com faixas ﬂuorescentes</t>
  </si>
  <si>
    <t>Rádio portátil (HT) digital para comunicação novo e de primeiro uso, alcance mínimo de 4 km, com bateria recarregável reserva. Modelo DEP 450 UHF/DIGITAL</t>
  </si>
  <si>
    <t>Spray de pimenta - Espargidores de agente químico lacrimogênio (CS ou OC) de até 70g, em solução (líquido), espuma ou gel;</t>
  </si>
  <si>
    <t>Bastão tipo tonfa</t>
  </si>
  <si>
    <t>Arma de choque - Lançamento de dardos energizados</t>
  </si>
  <si>
    <t>Apito de metal com cordão</t>
  </si>
  <si>
    <t>Cinto tático </t>
  </si>
  <si>
    <t>Incidência do submódulo 2.2 sobre 13º e Adic. Férias</t>
  </si>
  <si>
    <t>EQUIPAMENTOS PARA VIGILANTES MOTORIZADOS</t>
  </si>
  <si>
    <t>UNIFORMES PARA TODOS OS  VIGILANTES MOTORIZADOS E NÃO MOTORIZADOS.</t>
  </si>
  <si>
    <t>Equipamentos ( Rádio)</t>
  </si>
  <si>
    <t>Veículo automotor do tipo motocicleta -n/off road no mínimo de 160cc</t>
  </si>
  <si>
    <t>CUSTO ESTIMADO DO VEÍCULO</t>
  </si>
  <si>
    <t>Equipamentos (Veículo automotor do tipo motocicleta)</t>
  </si>
  <si>
    <t xml:space="preserve">Adicional Periculosidade </t>
  </si>
  <si>
    <t>EPI</t>
  </si>
  <si>
    <t>Adicional Periculosidade</t>
  </si>
  <si>
    <t>Vigilante diurno 12 x 36 seg. a domingo</t>
  </si>
  <si>
    <t>Vigilante 12 x 36 seg. a sexta</t>
  </si>
  <si>
    <t>Vigilante noturno  12 x 36 seg. a domingo</t>
  </si>
  <si>
    <t>vigilante motorizado diurno 12 x 36 seg. a domingo</t>
  </si>
  <si>
    <t>Vigilante motoriado noturno 12 x 36 seg. a domingo</t>
  </si>
  <si>
    <t>Supervisor 12 x 36 seg. a domingo</t>
  </si>
  <si>
    <t>Vigilante noturno 12 x 36 seg. a domingo</t>
  </si>
  <si>
    <t>CATEGORIA/ESCALAS</t>
  </si>
  <si>
    <t>Vigilante 12 x 36 seg. a sexta (*)</t>
  </si>
  <si>
    <t>Lanterna portátil tipo LED</t>
  </si>
  <si>
    <t>Placa de colete balístico com Proteção Nível II-A  e Capa de colete balístico com emblema da empresa, sem acessórios (sem bolsos), confeccionado em tecido de alta</t>
  </si>
  <si>
    <t>DEPRECIAÇÃO (MESES)</t>
  </si>
  <si>
    <t>Valor Mensal</t>
  </si>
  <si>
    <t>Tipo de Serviço - Categoria Profissional</t>
  </si>
  <si>
    <t>Jornada de Trabalho</t>
  </si>
  <si>
    <t>12x36</t>
  </si>
  <si>
    <t>5x2</t>
  </si>
  <si>
    <t>Quantidade</t>
  </si>
  <si>
    <t>Postos de Trabalho</t>
  </si>
  <si>
    <t>Mensal</t>
  </si>
  <si>
    <t>Anual</t>
  </si>
  <si>
    <t>Valores (R$)</t>
  </si>
  <si>
    <t>Unitário</t>
  </si>
  <si>
    <t>Profissionais p/Postos de Trabalho</t>
  </si>
  <si>
    <t>Vigilante Diurno (Arma não letal)- Seg a Domingo</t>
  </si>
  <si>
    <t>Vigilantes Noturno (Arma não letal) - Seg à Dominigo</t>
  </si>
  <si>
    <t>Vigilante Motorizado Diurno (Arma não letal) -  Seg à Dominigo</t>
  </si>
  <si>
    <t>Vigilante Motorizado Noturno (Arma não letal) -  Seg à Dominigo</t>
  </si>
  <si>
    <t>Vigilantes 44 horas (Arma não letal) - Seg à Sexta</t>
  </si>
  <si>
    <t>Vigilante Diurno (seg. a sexta) (Arma não letal)</t>
  </si>
  <si>
    <t>Supervisor (Desarmado) - Seg à Domingo</t>
  </si>
  <si>
    <t>Salário base</t>
  </si>
  <si>
    <t>Subtotal</t>
  </si>
  <si>
    <t>Total do 13º salário e adicional de férias</t>
  </si>
  <si>
    <t>SALÁRIO BASE</t>
  </si>
  <si>
    <t>% DE DESCONTO</t>
  </si>
  <si>
    <t>PARTICIPAÇÃO DO TRABALHADOR</t>
  </si>
  <si>
    <t xml:space="preserve"> DETALHAMENTO DO CUSTO DO VALE TRANSPORTE </t>
  </si>
  <si>
    <t>DETALHAMENTO DO CUSTO DE VALE ALIMENTAÇÃO</t>
  </si>
  <si>
    <t>% de Participação do empregado (Somente se houver previsão na CCT)</t>
  </si>
  <si>
    <t>CUSTO UNITÁRIO COM DESCONTO</t>
  </si>
  <si>
    <t>Quantidade de Profissionais para rateio dos custos (Supervisor)</t>
  </si>
  <si>
    <t>CUSTO ESTIMADO DO EQUIPAMENTO - SUPERVISOR</t>
  </si>
  <si>
    <t>Equipamentos  (Rádio, Arma, Apito, etc)</t>
  </si>
  <si>
    <t>Crachá</t>
  </si>
  <si>
    <t xml:space="preserve">  VALOR MENSAL  (Valor anual/12 meses)</t>
  </si>
  <si>
    <t xml:space="preserve">Luvas de proteção para motociclista  </t>
  </si>
  <si>
    <t>Capacete escamoteável  (semelhante ao da PMDF)</t>
  </si>
  <si>
    <t xml:space="preserve">Coturno </t>
  </si>
  <si>
    <t>Colete refletivo</t>
  </si>
  <si>
    <t>Japona</t>
  </si>
  <si>
    <t>PEÇAS DO EPI</t>
  </si>
  <si>
    <t>(*)  A participação do trabalhador é maior que o custo do transporte</t>
  </si>
  <si>
    <t>CUSTO ESTIMADO DOS EQUIPAMENTOS - VIGILANTES (12x36)</t>
  </si>
  <si>
    <t>CUSTO ESTIMADO DOS EQUIPAMENTOS - VIGILANTES (5x2 - 44h)</t>
  </si>
  <si>
    <t xml:space="preserve">Adicional Periculosidade  </t>
  </si>
  <si>
    <t>PREGÃO ELETRÔNICO Nº  /2020</t>
  </si>
  <si>
    <t xml:space="preserve">PREGÃO ELETRÔNICO Nº  /2020 </t>
  </si>
  <si>
    <r>
      <t xml:space="preserve">PREGÃO ELETRÔNICO </t>
    </r>
    <r>
      <rPr>
        <b/>
        <sz val="10"/>
        <color rgb="FFFF0000"/>
        <rFont val="Calibri"/>
        <family val="2"/>
      </rPr>
      <t xml:space="preserve">Nº  /2020 </t>
    </r>
  </si>
  <si>
    <t>xx/xx/2020</t>
  </si>
  <si>
    <t>Obs: Os preços unitários foram obtidos em consultas à valores de contratações homologadas pela Administração na região de Brasília/DF no período de  out/2019 à dez/2019.</t>
  </si>
  <si>
    <r>
      <rPr>
        <b/>
        <sz val="10"/>
        <color rgb="FF000000"/>
        <rFont val="Calibri"/>
        <family val="2"/>
        <scheme val="minor"/>
      </rPr>
      <t>Paletó -</t>
    </r>
    <r>
      <rPr>
        <sz val="10"/>
        <color rgb="FF000000"/>
        <rFont val="Calibri"/>
        <family val="2"/>
        <scheme val="minor"/>
      </rPr>
      <t xml:space="preserve"> Cor preta, em tecido tipo poliéster, forrado internamente, inclusive na manga, com bolso externo e interno, Emblema da empresa, bordado na parte externa do bolso ou na parte superior do lado esquerdo  </t>
    </r>
    <r>
      <rPr>
        <b/>
        <sz val="10"/>
        <color rgb="FF000000"/>
        <rFont val="Calibri"/>
        <family val="2"/>
        <scheme val="minor"/>
      </rPr>
      <t xml:space="preserve">Calça - </t>
    </r>
    <r>
      <rPr>
        <sz val="10"/>
        <color rgb="FF000000"/>
        <rFont val="Calibri"/>
        <family val="2"/>
        <scheme val="minor"/>
      </rPr>
      <t>Modelo social Tecido e cor idênticos aos do paletó Cós entretelado, forrado, com passadores no mesmo tecido da calça 02 bolsos laterais, embutidos 02 bolsos traseiros embutidos, com uma casa vertical e um botão.</t>
    </r>
  </si>
  <si>
    <t>VIGILANTE NOTURNO</t>
  </si>
  <si>
    <t>VIGILANTE DIURNO</t>
  </si>
  <si>
    <t>VIGILANTE DIURNO 12x36 (Seg à Sexta)</t>
  </si>
  <si>
    <t>B1</t>
  </si>
  <si>
    <t>B2</t>
  </si>
  <si>
    <t>(Cláusula Quarta - caput - CCT 2019)</t>
  </si>
  <si>
    <t>(Cláusula Quarta - alínea "g" - CCT 2019)</t>
  </si>
  <si>
    <t xml:space="preserve">Subtotal </t>
  </si>
  <si>
    <r>
      <t>Multa sobre FGTS e sobre o Aviso Prévio Indenizado e sobre o Aviso Prévio Trabalhado (</t>
    </r>
    <r>
      <rPr>
        <sz val="9"/>
        <color rgb="FFFF0000"/>
        <rFont val="Calibri"/>
        <family val="2"/>
      </rPr>
      <t>Obrigatória a cotação de até 4% ( Lei nº 13.932/2019, Lei nº 13.932/2019, extinção da Contribuição Social (10%) a partir de 01/01/2020)</t>
    </r>
  </si>
  <si>
    <r>
      <t>Multa sobre FGTS e sobre o Aviso Prévio Indenizado e sobre o Aviso Prévio Trabalhado (</t>
    </r>
    <r>
      <rPr>
        <sz val="9"/>
        <color rgb="FFFF0000"/>
        <rFont val="Calibri"/>
        <family val="2"/>
      </rPr>
      <t>Obrigatória a cotação de até 4% ( Lei nº 13.932/2019, Lei nº 13.932/2019, extinção da Contribuição Social (10%) a partir de 01/01/2020)</t>
    </r>
    <r>
      <rPr>
        <sz val="10"/>
        <rFont val="Calibri"/>
        <family val="2"/>
        <charset val="1"/>
      </rPr>
      <t>)</t>
    </r>
  </si>
  <si>
    <r>
      <t xml:space="preserve">Multa sobre FGTS e sobre o Aviso Prévio Indenizado e sobre o Aviso Prévio Trabalhado </t>
    </r>
    <r>
      <rPr>
        <sz val="9"/>
        <rFont val="Calibri"/>
        <family val="2"/>
      </rPr>
      <t>(</t>
    </r>
    <r>
      <rPr>
        <sz val="9"/>
        <color rgb="FFFF0000"/>
        <rFont val="Calibri"/>
        <family val="2"/>
      </rPr>
      <t>Obrigatória a cotação de até 4% ( Lei nº 13.932/2019, extinção da Contribuição Social (10%) a partir de 01/01/2020</t>
    </r>
    <r>
      <rPr>
        <sz val="10"/>
        <color rgb="FFFF0000"/>
        <rFont val="Calibri"/>
        <family val="2"/>
      </rPr>
      <t>)</t>
    </r>
  </si>
  <si>
    <r>
      <t>Multa sobre FGTS e sobre o Aviso Prévio Indenizado e sobre o Aviso Prévio Trabalhado (</t>
    </r>
    <r>
      <rPr>
        <sz val="10"/>
        <color rgb="FFFF0000"/>
        <rFont val="Calibri"/>
        <family val="2"/>
      </rPr>
      <t xml:space="preserve">Obrigatória a cotação de até 4% ( </t>
    </r>
    <r>
      <rPr>
        <sz val="9"/>
        <color rgb="FFFF0000"/>
        <rFont val="Calibri"/>
        <family val="2"/>
      </rPr>
      <t>Lei nº 13.932/2019, Lei nº 13.932/2019, extinção da Contribuição Social (10%) a partir de 01/01/2020)</t>
    </r>
  </si>
  <si>
    <r>
      <t xml:space="preserve">Multa sobre FGTS e sobre o Aviso Prévio Indenizado e sobre o Aviso Prévio Trabalhado </t>
    </r>
    <r>
      <rPr>
        <sz val="9"/>
        <color rgb="FFFF0000"/>
        <rFont val="Calibri"/>
        <family val="2"/>
      </rPr>
      <t>(Obrigatória a cotação de até 4% ( Lei nº 13.932/2019, Lei nº 13.932/2019, extinção da Contribuição Social (10%) a partir de 01/01/2020)</t>
    </r>
  </si>
  <si>
    <r>
      <t xml:space="preserve">Multa sobre FGTS e sobre o Aviso Prévio Indenizado e sobre o Aviso Prévio Trabalhado </t>
    </r>
    <r>
      <rPr>
        <sz val="10"/>
        <color rgb="FFFF0000"/>
        <rFont val="Calibri"/>
        <family val="2"/>
      </rPr>
      <t>(Obrigatória a cotação de até 4% ( Lei nº 13.932/2019, Lei nº 13.932/2019, extinção da Contribuição Social (10%) a partir de 01/01/2020)</t>
    </r>
  </si>
  <si>
    <t>04/02/2020</t>
  </si>
  <si>
    <t xml:space="preserve">PREGÃO ELETRÔNICO Nº /2020 </t>
  </si>
  <si>
    <t>04/02/2019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</si>
</sst>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R$&quot;\ #,##0.00;[Red]\-&quot;R$&quot;\ #,##0.00"/>
    <numFmt numFmtId="44" formatCode="_-&quot;R$&quot;\ * #,##0.00_-;\-&quot;R$&quot;\ * #,##0.00_-;_-&quot;R$&quot;\ * &quot;-&quot;??_-;_-@_-"/>
    <numFmt numFmtId="43" formatCode="_-* #,##0.00_-;\-* #,##0.00_-;_-* &quot;-&quot;??_-;_-@_-"/>
    <numFmt numFmtId="164" formatCode="d/m/yyyy"/>
    <numFmt numFmtId="165" formatCode="&quot;R$ &quot;#,##0.00_);[Red]&quot;(R$ &quot;#,##0.00\)"/>
    <numFmt numFmtId="166" formatCode="_-* #,##0.00_-;\-* #,##0.00_-;_-* \-??_-;_-@_-"/>
    <numFmt numFmtId="167" formatCode="_(&quot;R$ &quot;* #,##0.00_);_(&quot;R$ &quot;* \(#,##0.00\);_(&quot;R$ &quot;* \-??_);_(@_)"/>
    <numFmt numFmtId="168" formatCode="&quot;R$&quot;\ #,##0.00"/>
    <numFmt numFmtId="169" formatCode="0.000"/>
    <numFmt numFmtId="170" formatCode="0.0000"/>
    <numFmt numFmtId="171" formatCode="_(&quot;R$ &quot;* #,##0.00_);_(&quot;R$ &quot;* \(#,##0.00\);_(&quot;R$ &quot;* &quot;-&quot;??_);_(@_)"/>
    <numFmt numFmtId="172" formatCode="_-[$R$-416]\ * #,##0.00_-;\-[$R$-416]\ * #,##0.00_-;_-[$R$-416]\ * &quot;-&quot;??_-;_-@_-"/>
    <numFmt numFmtId="173" formatCode="_-&quot;R$&quot;* #,##0.00_-;\-&quot;R$&quot;* #,##0.00_-;_-&quot;R$&quot;* &quot;-&quot;??_-;_-@_-"/>
    <numFmt numFmtId="174" formatCode="_([$€-2]* #,##0.00_);_([$€-2]* \(#,##0.00\);_([$€-2]* &quot;-&quot;??_)"/>
  </numFmts>
  <fonts count="76" x14ac:knownFonts="1">
    <font>
      <sz val="10"/>
      <name val="Arial"/>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charset val="1"/>
    </font>
    <font>
      <b/>
      <sz val="12"/>
      <name val="Calibri"/>
      <family val="2"/>
      <charset val="1"/>
    </font>
    <font>
      <b/>
      <sz val="10"/>
      <name val="Calibri"/>
      <family val="2"/>
      <charset val="1"/>
    </font>
    <font>
      <b/>
      <sz val="10"/>
      <color rgb="FFFFFFFF"/>
      <name val="Calibri"/>
      <family val="2"/>
      <charset val="1"/>
    </font>
    <font>
      <b/>
      <i/>
      <sz val="9"/>
      <color rgb="FF000000"/>
      <name val="Calibri"/>
      <family val="2"/>
      <charset val="1"/>
    </font>
    <font>
      <i/>
      <sz val="9"/>
      <color rgb="FF000000"/>
      <name val="Calibri"/>
      <family val="2"/>
      <charset val="1"/>
    </font>
    <font>
      <sz val="10"/>
      <color rgb="FFFF0000"/>
      <name val="Calibri"/>
      <family val="2"/>
      <charset val="1"/>
    </font>
    <font>
      <i/>
      <u/>
      <sz val="9"/>
      <color rgb="FF000000"/>
      <name val="Calibri"/>
      <family val="2"/>
      <charset val="1"/>
    </font>
    <font>
      <b/>
      <i/>
      <sz val="9"/>
      <color rgb="FFFF0000"/>
      <name val="Calibri"/>
      <family val="2"/>
      <charset val="1"/>
    </font>
    <font>
      <i/>
      <sz val="9"/>
      <color rgb="FFFF0000"/>
      <name val="Calibri"/>
      <family val="2"/>
      <charset val="1"/>
    </font>
    <font>
      <b/>
      <sz val="10"/>
      <color rgb="FFFF0000"/>
      <name val="Calibri"/>
      <family val="2"/>
      <charset val="1"/>
    </font>
    <font>
      <b/>
      <sz val="9"/>
      <color rgb="FF000000"/>
      <name val="Segoe UI"/>
      <family val="2"/>
      <charset val="1"/>
    </font>
    <font>
      <sz val="10"/>
      <name val="Arial"/>
      <family val="2"/>
      <charset val="1"/>
    </font>
    <font>
      <b/>
      <sz val="11"/>
      <color theme="1"/>
      <name val="Calibri"/>
      <family val="2"/>
      <scheme val="minor"/>
    </font>
    <font>
      <b/>
      <sz val="11"/>
      <name val="Calibri"/>
      <family val="2"/>
      <scheme val="minor"/>
    </font>
    <font>
      <sz val="10"/>
      <name val="Arial"/>
      <family val="2"/>
    </font>
    <font>
      <b/>
      <sz val="10"/>
      <name val="Arial"/>
      <family val="2"/>
    </font>
    <font>
      <b/>
      <sz val="11"/>
      <name val="Calibri Light"/>
      <family val="1"/>
      <scheme val="major"/>
    </font>
    <font>
      <b/>
      <sz val="11"/>
      <color theme="1"/>
      <name val="Calibri Light"/>
      <family val="1"/>
      <scheme val="major"/>
    </font>
    <font>
      <b/>
      <sz val="10"/>
      <name val="Calibri"/>
      <family val="2"/>
    </font>
    <font>
      <b/>
      <sz val="11"/>
      <color theme="0"/>
      <name val="Cambria"/>
      <family val="1"/>
    </font>
    <font>
      <sz val="11"/>
      <color theme="1"/>
      <name val="Cambria"/>
      <family val="1"/>
    </font>
    <font>
      <sz val="11"/>
      <color rgb="FFFFFF00"/>
      <name val="Cambria"/>
      <family val="1"/>
    </font>
    <font>
      <b/>
      <sz val="11"/>
      <color theme="1"/>
      <name val="Cambria"/>
      <family val="1"/>
    </font>
    <font>
      <b/>
      <u/>
      <sz val="11"/>
      <name val="Cambria"/>
      <family val="1"/>
    </font>
    <font>
      <sz val="10"/>
      <color theme="1"/>
      <name val="Cambria"/>
      <family val="1"/>
    </font>
    <font>
      <sz val="10"/>
      <name val="Cambria"/>
      <family val="1"/>
    </font>
    <font>
      <b/>
      <sz val="10"/>
      <color theme="1"/>
      <name val="Cambria"/>
      <family val="1"/>
    </font>
    <font>
      <sz val="10"/>
      <color rgb="FFFF0000"/>
      <name val="Cambria"/>
      <family val="1"/>
    </font>
    <font>
      <b/>
      <sz val="10"/>
      <name val="Cambria"/>
      <family val="1"/>
    </font>
    <font>
      <sz val="10"/>
      <name val="Calibri"/>
      <family val="2"/>
      <scheme val="minor"/>
    </font>
    <font>
      <sz val="11"/>
      <color theme="1"/>
      <name val="Calibri Light"/>
      <family val="1"/>
      <scheme val="major"/>
    </font>
    <font>
      <b/>
      <sz val="10"/>
      <color theme="0"/>
      <name val="Calibri"/>
      <family val="2"/>
      <charset val="1"/>
    </font>
    <font>
      <sz val="11"/>
      <name val="Calibri"/>
      <family val="2"/>
      <scheme val="minor"/>
    </font>
    <font>
      <b/>
      <sz val="10"/>
      <name val="Calibri"/>
      <family val="2"/>
      <scheme val="minor"/>
    </font>
    <font>
      <b/>
      <sz val="10"/>
      <color rgb="FFFF0000"/>
      <name val="Calibri"/>
      <family val="2"/>
      <scheme val="minor"/>
    </font>
    <font>
      <sz val="10"/>
      <name val="Calibri"/>
      <family val="2"/>
    </font>
    <font>
      <b/>
      <sz val="10"/>
      <color rgb="FFFF0000"/>
      <name val="Calibri"/>
      <family val="2"/>
    </font>
    <font>
      <sz val="8"/>
      <name val="Arial"/>
      <family val="2"/>
      <charset val="1"/>
    </font>
    <font>
      <u/>
      <sz val="10"/>
      <color theme="10"/>
      <name val="Arial"/>
      <family val="2"/>
      <charset val="1"/>
    </font>
    <font>
      <b/>
      <sz val="11"/>
      <name val="Calibri"/>
      <family val="2"/>
    </font>
    <font>
      <sz val="11"/>
      <name val="Calibri"/>
      <family val="2"/>
    </font>
    <font>
      <b/>
      <sz val="10"/>
      <color theme="8" tint="-0.499984740745262"/>
      <name val="Calibri"/>
      <family val="2"/>
    </font>
    <font>
      <sz val="10"/>
      <color theme="8" tint="-0.499984740745262"/>
      <name val="Calibri"/>
      <family val="2"/>
    </font>
    <font>
      <b/>
      <sz val="10"/>
      <color theme="1"/>
      <name val="Calibri"/>
      <family val="2"/>
      <scheme val="minor"/>
    </font>
    <font>
      <sz val="10"/>
      <color theme="1"/>
      <name val="Calibri"/>
      <family val="2"/>
      <scheme val="minor"/>
    </font>
    <font>
      <b/>
      <sz val="10"/>
      <color theme="0"/>
      <name val="Calibri"/>
      <family val="2"/>
      <scheme val="minor"/>
    </font>
    <font>
      <sz val="10"/>
      <color rgb="FF00B050"/>
      <name val="Calibri"/>
      <family val="2"/>
      <scheme val="minor"/>
    </font>
    <font>
      <sz val="10"/>
      <color rgb="FFFF0000"/>
      <name val="Calibri"/>
      <family val="2"/>
      <scheme val="minor"/>
    </font>
    <font>
      <sz val="10"/>
      <color rgb="FFFF0000"/>
      <name val="Calibri"/>
      <family val="2"/>
    </font>
    <font>
      <sz val="10"/>
      <color rgb="FFFF0000"/>
      <name val="Calibri"/>
      <family val="2"/>
      <charset val="1"/>
      <scheme val="minor"/>
    </font>
    <font>
      <sz val="10"/>
      <name val="Calibri"/>
      <family val="2"/>
      <charset val="1"/>
      <scheme val="minor"/>
    </font>
    <font>
      <sz val="10"/>
      <color rgb="FFFF0000"/>
      <name val="Arial"/>
      <family val="2"/>
    </font>
    <font>
      <b/>
      <i/>
      <sz val="10"/>
      <name val="Arial"/>
      <family val="2"/>
    </font>
    <font>
      <sz val="11"/>
      <color indexed="8"/>
      <name val="Calibri"/>
      <family val="2"/>
    </font>
    <font>
      <b/>
      <sz val="18"/>
      <color indexed="56"/>
      <name val="Cambria"/>
      <family val="2"/>
    </font>
    <font>
      <b/>
      <sz val="15"/>
      <color indexed="56"/>
      <name val="Calibri"/>
      <family val="2"/>
    </font>
    <font>
      <u/>
      <sz val="11"/>
      <color theme="10"/>
      <name val="Calibri"/>
      <family val="2"/>
      <scheme val="minor"/>
    </font>
    <font>
      <b/>
      <i/>
      <sz val="9"/>
      <name val="Calibri"/>
      <family val="2"/>
      <scheme val="minor"/>
    </font>
    <font>
      <sz val="10"/>
      <color rgb="FF000000"/>
      <name val="Calibri"/>
      <family val="2"/>
      <scheme val="minor"/>
    </font>
    <font>
      <b/>
      <sz val="10"/>
      <color rgb="FF000000"/>
      <name val="Calibri"/>
      <family val="2"/>
      <scheme val="minor"/>
    </font>
    <font>
      <b/>
      <sz val="10"/>
      <color theme="8" tint="-0.249977111117893"/>
      <name val="Calibri"/>
      <family val="2"/>
      <scheme val="minor"/>
    </font>
    <font>
      <sz val="10"/>
      <color theme="8" tint="-0.249977111117893"/>
      <name val="Calibri"/>
      <family val="2"/>
      <scheme val="minor"/>
    </font>
    <font>
      <u/>
      <sz val="10"/>
      <color theme="8" tint="-0.249977111117893"/>
      <name val="Calibri"/>
      <family val="2"/>
      <scheme val="minor"/>
    </font>
    <font>
      <i/>
      <sz val="10"/>
      <name val="Calibri"/>
      <family val="2"/>
      <scheme val="minor"/>
    </font>
    <font>
      <b/>
      <i/>
      <sz val="10"/>
      <name val="Calibri"/>
      <family val="2"/>
      <scheme val="minor"/>
    </font>
    <font>
      <sz val="9"/>
      <name val="Calibri"/>
      <family val="2"/>
    </font>
    <font>
      <sz val="9"/>
      <color rgb="FFFF0000"/>
      <name val="Calibri"/>
      <family val="2"/>
    </font>
  </fonts>
  <fills count="24">
    <fill>
      <patternFill patternType="none"/>
    </fill>
    <fill>
      <patternFill patternType="gray125"/>
    </fill>
    <fill>
      <patternFill patternType="solid">
        <fgColor rgb="FFD7E4BD"/>
        <bgColor rgb="FFD9D9D9"/>
      </patternFill>
    </fill>
    <fill>
      <patternFill patternType="solid">
        <fgColor rgb="FFFFFFFF"/>
        <bgColor rgb="FFDCE6F2"/>
      </patternFill>
    </fill>
    <fill>
      <patternFill patternType="solid">
        <fgColor rgb="FFC6D9F1"/>
        <bgColor rgb="FFB7DEE8"/>
      </patternFill>
    </fill>
    <fill>
      <patternFill patternType="solid">
        <fgColor rgb="FFDCE6F2"/>
        <bgColor rgb="FFD9D9D9"/>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rgb="FFC0C0C0"/>
        <bgColor indexed="64"/>
      </patternFill>
    </fill>
    <fill>
      <patternFill patternType="solid">
        <fgColor rgb="FF00B050"/>
        <bgColor indexed="64"/>
      </patternFill>
    </fill>
    <fill>
      <patternFill patternType="solid">
        <fgColor rgb="FF00B0F0"/>
        <bgColor indexed="64"/>
      </patternFill>
    </fill>
    <fill>
      <patternFill patternType="solid">
        <fgColor theme="4"/>
        <bgColor indexed="64"/>
      </patternFill>
    </fill>
    <fill>
      <patternFill patternType="solid">
        <fgColor theme="9" tint="-0.499984740745262"/>
        <bgColor rgb="FF003366"/>
      </patternFill>
    </fill>
    <fill>
      <patternFill patternType="solid">
        <fgColor theme="9" tint="-0.499984740745262"/>
        <bgColor rgb="FFD7E4BD"/>
      </patternFill>
    </fill>
    <fill>
      <patternFill patternType="solid">
        <fgColor theme="7" tint="0.59999389629810485"/>
        <bgColor indexed="64"/>
      </patternFill>
    </fill>
    <fill>
      <patternFill patternType="solid">
        <fgColor theme="9"/>
        <bgColor indexed="64"/>
      </patternFill>
    </fill>
    <fill>
      <patternFill patternType="solid">
        <fgColor theme="7" tint="0.39997558519241921"/>
        <bgColor indexed="64"/>
      </patternFill>
    </fill>
    <fill>
      <patternFill patternType="solid">
        <fgColor rgb="FFFFC000"/>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auto="1"/>
      </left>
      <right style="thin">
        <color auto="1"/>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indexed="64"/>
      </bottom>
      <diagonal/>
    </border>
    <border>
      <left style="medium">
        <color rgb="FF000000"/>
      </left>
      <right style="medium">
        <color rgb="FF000000"/>
      </right>
      <top style="medium">
        <color rgb="FF000000"/>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bottom style="thin">
        <color auto="1"/>
      </bottom>
      <diagonal/>
    </border>
    <border>
      <left style="medium">
        <color rgb="FF000000"/>
      </left>
      <right style="medium">
        <color rgb="FF000000"/>
      </right>
      <top style="thin">
        <color auto="1"/>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auto="1"/>
      </top>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top/>
      <bottom style="thick">
        <color indexed="62"/>
      </bottom>
      <diagonal/>
    </border>
    <border>
      <left/>
      <right/>
      <top style="medium">
        <color auto="1"/>
      </top>
      <bottom/>
      <diagonal/>
    </border>
  </borders>
  <cellStyleXfs count="86">
    <xf numFmtId="0" fontId="0" fillId="0" borderId="0"/>
    <xf numFmtId="166" fontId="20" fillId="0" borderId="0" applyBorder="0" applyProtection="0"/>
    <xf numFmtId="167" fontId="20" fillId="0" borderId="0" applyBorder="0" applyProtection="0"/>
    <xf numFmtId="9" fontId="20" fillId="0" borderId="0" applyBorder="0" applyProtection="0"/>
    <xf numFmtId="0" fontId="23" fillId="0" borderId="0"/>
    <xf numFmtId="0" fontId="23" fillId="0" borderId="0"/>
    <xf numFmtId="9" fontId="23" fillId="0" borderId="0" applyFill="0" applyBorder="0" applyAlignment="0" applyProtection="0"/>
    <xf numFmtId="0" fontId="7" fillId="0" borderId="0"/>
    <xf numFmtId="171" fontId="23" fillId="0" borderId="0" applyFont="0" applyFill="0" applyBorder="0" applyAlignment="0" applyProtection="0"/>
    <xf numFmtId="0" fontId="47"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62" fillId="0" borderId="0" applyFont="0" applyFill="0" applyBorder="0" applyAlignment="0" applyProtection="0"/>
    <xf numFmtId="171" fontId="62" fillId="0" borderId="0" applyFont="0" applyFill="0" applyBorder="0" applyAlignment="0" applyProtection="0"/>
    <xf numFmtId="43" fontId="62" fillId="0" borderId="0" applyFont="0" applyFill="0" applyBorder="0" applyAlignment="0" applyProtection="0"/>
    <xf numFmtId="0" fontId="23" fillId="0" borderId="0"/>
    <xf numFmtId="44" fontId="2" fillId="0" borderId="0" applyFont="0" applyFill="0" applyBorder="0" applyAlignment="0" applyProtection="0"/>
    <xf numFmtId="173" fontId="2" fillId="0" borderId="0" applyFont="0" applyFill="0" applyBorder="0" applyAlignment="0" applyProtection="0"/>
    <xf numFmtId="0" fontId="23" fillId="0" borderId="0"/>
    <xf numFmtId="171" fontId="23" fillId="0" borderId="0" applyFont="0" applyFill="0" applyBorder="0" applyAlignment="0" applyProtection="0"/>
    <xf numFmtId="171" fontId="23" fillId="0" borderId="0" applyFont="0" applyFill="0" applyBorder="0" applyAlignment="0" applyProtection="0"/>
    <xf numFmtId="9" fontId="23"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44" fontId="2" fillId="0" borderId="0" applyFont="0" applyFill="0" applyBorder="0" applyAlignment="0" applyProtection="0"/>
    <xf numFmtId="9" fontId="23" fillId="0" borderId="0" applyFont="0" applyFill="0" applyBorder="0" applyAlignment="0" applyProtection="0"/>
    <xf numFmtId="9" fontId="23" fillId="0" borderId="0"/>
    <xf numFmtId="0" fontId="23"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174" fontId="23" fillId="0" borderId="0" applyFont="0" applyFill="0" applyBorder="0" applyAlignment="0" applyProtection="0"/>
    <xf numFmtId="44" fontId="2"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171" fontId="23" fillId="0" borderId="0" applyFont="0" applyFill="0" applyBorder="0" applyAlignment="0" applyProtection="0"/>
    <xf numFmtId="0" fontId="2" fillId="0" borderId="0"/>
    <xf numFmtId="0" fontId="23" fillId="0" borderId="0"/>
    <xf numFmtId="0" fontId="23" fillId="0" borderId="0"/>
    <xf numFmtId="0" fontId="23" fillId="0" borderId="0"/>
    <xf numFmtId="9" fontId="2"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3" fillId="0" borderId="0" applyNumberFormat="0" applyFill="0" applyBorder="0" applyAlignment="0" applyProtection="0"/>
    <xf numFmtId="0" fontId="64" fillId="0" borderId="52" applyNumberFormat="0" applyFill="0" applyAlignment="0" applyProtection="0"/>
    <xf numFmtId="0" fontId="63" fillId="0" borderId="0" applyNumberForma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9" fontId="62" fillId="0" borderId="0" applyFont="0" applyFill="0" applyBorder="0" applyAlignment="0" applyProtection="0"/>
    <xf numFmtId="171" fontId="62" fillId="0" borderId="0" applyFont="0" applyFill="0" applyBorder="0" applyAlignment="0" applyProtection="0"/>
    <xf numFmtId="43" fontId="62" fillId="0" borderId="0" applyFont="0" applyFill="0" applyBorder="0" applyAlignment="0" applyProtection="0"/>
    <xf numFmtId="173" fontId="2" fillId="0" borderId="0" applyFont="0" applyFill="0" applyBorder="0" applyAlignment="0" applyProtection="0"/>
    <xf numFmtId="44" fontId="23" fillId="0" borderId="0" applyFont="0" applyFill="0" applyBorder="0" applyAlignment="0" applyProtection="0"/>
    <xf numFmtId="171" fontId="23" fillId="0" borderId="0" applyFont="0" applyFill="0" applyBorder="0" applyAlignment="0" applyProtection="0"/>
    <xf numFmtId="0" fontId="23" fillId="0" borderId="0"/>
    <xf numFmtId="43" fontId="23" fillId="0" borderId="0" applyFill="0" applyBorder="0" applyAlignment="0" applyProtection="0"/>
    <xf numFmtId="9" fontId="23" fillId="0" borderId="0" applyFill="0" applyBorder="0" applyAlignment="0" applyProtection="0"/>
    <xf numFmtId="0" fontId="65" fillId="0" borderId="0" applyNumberFormat="0" applyFill="0" applyBorder="0" applyAlignment="0" applyProtection="0"/>
    <xf numFmtId="43" fontId="2" fillId="0" borderId="0" applyFont="0" applyFill="0" applyBorder="0" applyAlignment="0" applyProtection="0"/>
    <xf numFmtId="43" fontId="62" fillId="0" borderId="0" applyFont="0" applyFill="0" applyBorder="0" applyAlignment="0" applyProtection="0"/>
    <xf numFmtId="44" fontId="2" fillId="0" borderId="0" applyFont="0" applyFill="0" applyBorder="0" applyAlignment="0" applyProtection="0"/>
    <xf numFmtId="0" fontId="23" fillId="0" borderId="0"/>
    <xf numFmtId="43" fontId="23"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2" fillId="0" borderId="0" applyFont="0" applyFill="0" applyBorder="0" applyAlignment="0" applyProtection="0"/>
    <xf numFmtId="44" fontId="23" fillId="0" borderId="0" applyFont="0" applyFill="0" applyBorder="0" applyAlignment="0" applyProtection="0"/>
    <xf numFmtId="0" fontId="23" fillId="0" borderId="0"/>
  </cellStyleXfs>
  <cellXfs count="671">
    <xf numFmtId="0" fontId="0" fillId="0" borderId="0" xfId="0"/>
    <xf numFmtId="0" fontId="8" fillId="0" borderId="0" xfId="0" applyFont="1" applyAlignment="1">
      <alignment horizontal="left"/>
    </xf>
    <xf numFmtId="10" fontId="8" fillId="0" borderId="1" xfId="3" applyNumberFormat="1" applyFont="1" applyBorder="1" applyAlignment="1" applyProtection="1">
      <alignment horizontal="center"/>
    </xf>
    <xf numFmtId="0" fontId="8" fillId="0" borderId="0" xfId="0" applyFont="1" applyBorder="1"/>
    <xf numFmtId="10" fontId="8" fillId="0" borderId="1" xfId="0" applyNumberFormat="1" applyFont="1" applyBorder="1" applyAlignment="1">
      <alignment horizontal="center"/>
    </xf>
    <xf numFmtId="10" fontId="10" fillId="0" borderId="1" xfId="0" applyNumberFormat="1" applyFont="1" applyBorder="1" applyAlignment="1">
      <alignment horizontal="center"/>
    </xf>
    <xf numFmtId="0" fontId="10" fillId="0" borderId="0" xfId="0" applyFont="1" applyBorder="1"/>
    <xf numFmtId="2" fontId="10" fillId="0" borderId="0" xfId="0" applyNumberFormat="1" applyFont="1"/>
    <xf numFmtId="9" fontId="8" fillId="0" borderId="0" xfId="0" applyNumberFormat="1" applyFont="1"/>
    <xf numFmtId="10" fontId="10" fillId="4" borderId="1" xfId="0" applyNumberFormat="1" applyFont="1" applyFill="1" applyBorder="1" applyAlignment="1">
      <alignment horizontal="center"/>
    </xf>
    <xf numFmtId="166" fontId="8" fillId="0" borderId="1" xfId="1" applyFont="1" applyBorder="1" applyAlignment="1" applyProtection="1">
      <alignment horizontal="center"/>
    </xf>
    <xf numFmtId="0" fontId="10" fillId="0" borderId="2" xfId="0" applyFont="1" applyBorder="1" applyAlignment="1">
      <alignment horizontal="center"/>
    </xf>
    <xf numFmtId="0" fontId="8" fillId="0" borderId="0" xfId="0" applyFont="1"/>
    <xf numFmtId="10" fontId="8" fillId="3" borderId="1" xfId="0" applyNumberFormat="1" applyFont="1" applyFill="1" applyBorder="1" applyAlignment="1">
      <alignment horizontal="center"/>
    </xf>
    <xf numFmtId="166" fontId="8" fillId="0" borderId="0" xfId="0" applyNumberFormat="1" applyFont="1"/>
    <xf numFmtId="166" fontId="8" fillId="0" borderId="0" xfId="0" applyNumberFormat="1" applyFont="1" applyBorder="1"/>
    <xf numFmtId="10" fontId="8" fillId="0" borderId="0" xfId="3" applyNumberFormat="1" applyFont="1" applyBorder="1" applyAlignment="1" applyProtection="1"/>
    <xf numFmtId="10" fontId="8" fillId="0" borderId="0" xfId="0" applyNumberFormat="1" applyFont="1" applyBorder="1"/>
    <xf numFmtId="2" fontId="8" fillId="0" borderId="0" xfId="0" applyNumberFormat="1" applyFont="1" applyBorder="1"/>
    <xf numFmtId="0" fontId="10" fillId="3" borderId="1" xfId="0" applyFont="1" applyFill="1" applyBorder="1" applyAlignment="1">
      <alignment horizontal="center"/>
    </xf>
    <xf numFmtId="10" fontId="8" fillId="0" borderId="1" xfId="3" applyNumberFormat="1" applyFont="1" applyBorder="1" applyAlignment="1" applyProtection="1"/>
    <xf numFmtId="0" fontId="18" fillId="0" borderId="9" xfId="0" applyFont="1" applyBorder="1" applyAlignment="1">
      <alignment horizontal="center"/>
    </xf>
    <xf numFmtId="10" fontId="18" fillId="0" borderId="2" xfId="3" applyNumberFormat="1" applyFont="1" applyBorder="1" applyAlignment="1" applyProtection="1"/>
    <xf numFmtId="0" fontId="18" fillId="0" borderId="11" xfId="0" applyFont="1" applyBorder="1" applyAlignment="1">
      <alignment horizontal="center"/>
    </xf>
    <xf numFmtId="10" fontId="18" fillId="0" borderId="0" xfId="3" applyNumberFormat="1" applyFont="1" applyBorder="1" applyAlignment="1" applyProtection="1"/>
    <xf numFmtId="0" fontId="14" fillId="0" borderId="11" xfId="0" applyFont="1" applyBorder="1"/>
    <xf numFmtId="0" fontId="18" fillId="0" borderId="5" xfId="0" applyFont="1" applyBorder="1" applyAlignment="1">
      <alignment horizontal="center"/>
    </xf>
    <xf numFmtId="10" fontId="18" fillId="0" borderId="13" xfId="3" applyNumberFormat="1" applyFont="1" applyBorder="1" applyAlignment="1" applyProtection="1"/>
    <xf numFmtId="2" fontId="8" fillId="0" borderId="0" xfId="0" applyNumberFormat="1" applyFont="1"/>
    <xf numFmtId="167" fontId="10" fillId="0" borderId="0" xfId="2" applyFont="1" applyBorder="1" applyAlignment="1" applyProtection="1"/>
    <xf numFmtId="0" fontId="0" fillId="0" borderId="0" xfId="0"/>
    <xf numFmtId="10" fontId="20" fillId="0" borderId="0" xfId="3" applyNumberFormat="1" applyBorder="1" applyAlignment="1" applyProtection="1"/>
    <xf numFmtId="0" fontId="0" fillId="0" borderId="0" xfId="0" applyFont="1" applyAlignment="1">
      <alignment vertical="center"/>
    </xf>
    <xf numFmtId="0" fontId="0" fillId="0" borderId="0" xfId="0" applyFont="1" applyAlignment="1">
      <alignment horizontal="center" vertical="center" wrapText="1"/>
    </xf>
    <xf numFmtId="8" fontId="21" fillId="6" borderId="1" xfId="0" applyNumberFormat="1" applyFont="1" applyFill="1" applyBorder="1" applyAlignment="1">
      <alignment horizontal="distributed" vertical="center"/>
    </xf>
    <xf numFmtId="0" fontId="0" fillId="0" borderId="0" xfId="0" applyFont="1" applyAlignment="1">
      <alignment horizontal="distributed" vertical="center" wrapText="1"/>
    </xf>
    <xf numFmtId="8" fontId="0" fillId="0" borderId="0" xfId="0" applyNumberFormat="1" applyFont="1" applyAlignment="1">
      <alignment vertical="center"/>
    </xf>
    <xf numFmtId="0" fontId="0" fillId="0" borderId="0" xfId="0" applyFont="1" applyAlignment="1">
      <alignment horizontal="left" vertical="center"/>
    </xf>
    <xf numFmtId="0" fontId="0" fillId="0" borderId="1" xfId="0" applyBorder="1" applyAlignment="1">
      <alignment horizontal="center" vertical="center"/>
    </xf>
    <xf numFmtId="44" fontId="0" fillId="0" borderId="1" xfId="0" applyNumberFormat="1" applyBorder="1"/>
    <xf numFmtId="167" fontId="20" fillId="0" borderId="0" xfId="2"/>
    <xf numFmtId="10" fontId="27" fillId="0" borderId="1" xfId="0" applyNumberFormat="1" applyFont="1" applyBorder="1" applyAlignment="1">
      <alignment horizontal="center"/>
    </xf>
    <xf numFmtId="0" fontId="29" fillId="0" borderId="0" xfId="7" applyFont="1" applyAlignment="1">
      <alignment vertical="center"/>
    </xf>
    <xf numFmtId="0" fontId="28" fillId="13" borderId="1" xfId="7" applyFont="1" applyFill="1" applyBorder="1" applyAlignment="1">
      <alignment horizontal="center" vertical="center"/>
    </xf>
    <xf numFmtId="0" fontId="30" fillId="0" borderId="0" xfId="7" applyFont="1" applyAlignment="1">
      <alignment horizontal="center" vertical="center"/>
    </xf>
    <xf numFmtId="0" fontId="29" fillId="0" borderId="1" xfId="7" applyFont="1" applyBorder="1" applyAlignment="1">
      <alignment horizontal="center" vertical="center"/>
    </xf>
    <xf numFmtId="0" fontId="29" fillId="0" borderId="1" xfId="7" applyFont="1" applyBorder="1" applyAlignment="1">
      <alignment horizontal="center" vertical="center" wrapText="1"/>
    </xf>
    <xf numFmtId="8" fontId="29" fillId="0" borderId="1" xfId="7" applyNumberFormat="1" applyFont="1" applyFill="1" applyBorder="1" applyAlignment="1">
      <alignment horizontal="center" vertical="center"/>
    </xf>
    <xf numFmtId="8" fontId="29" fillId="0" borderId="1" xfId="7" applyNumberFormat="1" applyFont="1" applyBorder="1" applyAlignment="1">
      <alignment horizontal="right" vertical="center"/>
    </xf>
    <xf numFmtId="171" fontId="30" fillId="0" borderId="0" xfId="8" applyFont="1" applyAlignment="1">
      <alignment horizontal="center" vertical="center"/>
    </xf>
    <xf numFmtId="0" fontId="31" fillId="9" borderId="1" xfId="7" applyFont="1" applyFill="1" applyBorder="1" applyAlignment="1">
      <alignment horizontal="center" vertical="center"/>
    </xf>
    <xf numFmtId="8" fontId="31" fillId="9" borderId="1" xfId="7" applyNumberFormat="1" applyFont="1" applyFill="1" applyBorder="1" applyAlignment="1">
      <alignment vertical="center"/>
    </xf>
    <xf numFmtId="43" fontId="30" fillId="0" borderId="0" xfId="7" applyNumberFormat="1" applyFont="1" applyAlignment="1">
      <alignment vertical="center"/>
    </xf>
    <xf numFmtId="0" fontId="29" fillId="0" borderId="1" xfId="7" applyFont="1" applyBorder="1" applyAlignment="1">
      <alignment vertical="center"/>
    </xf>
    <xf numFmtId="8" fontId="32" fillId="8" borderId="1" xfId="7" applyNumberFormat="1" applyFont="1" applyFill="1" applyBorder="1" applyAlignment="1">
      <alignment vertical="center"/>
    </xf>
    <xf numFmtId="0" fontId="31" fillId="0" borderId="1" xfId="7" applyFont="1" applyBorder="1" applyAlignment="1">
      <alignment horizontal="center" vertical="center" wrapText="1"/>
    </xf>
    <xf numFmtId="43" fontId="8" fillId="0" borderId="0" xfId="0" applyNumberFormat="1" applyFont="1"/>
    <xf numFmtId="9" fontId="20" fillId="0" borderId="0" xfId="3"/>
    <xf numFmtId="167" fontId="20" fillId="0" borderId="0" xfId="2" applyNumberFormat="1"/>
    <xf numFmtId="0" fontId="8" fillId="0" borderId="0" xfId="0" applyFont="1" applyBorder="1" applyAlignment="1">
      <alignment horizontal="center"/>
    </xf>
    <xf numFmtId="0" fontId="8" fillId="0" borderId="1" xfId="0" applyFont="1" applyBorder="1" applyAlignment="1">
      <alignment horizontal="center"/>
    </xf>
    <xf numFmtId="0" fontId="10" fillId="0" borderId="1" xfId="0" applyFont="1" applyBorder="1" applyAlignment="1">
      <alignment horizontal="center"/>
    </xf>
    <xf numFmtId="0" fontId="10" fillId="4" borderId="1" xfId="0" applyFont="1" applyFill="1" applyBorder="1" applyAlignment="1">
      <alignment horizontal="center"/>
    </xf>
    <xf numFmtId="0" fontId="8" fillId="0" borderId="1" xfId="0" applyFont="1" applyBorder="1"/>
    <xf numFmtId="0" fontId="10" fillId="5" borderId="1" xfId="0" applyFont="1" applyFill="1" applyBorder="1" applyAlignment="1">
      <alignment horizontal="center"/>
    </xf>
    <xf numFmtId="0" fontId="8" fillId="0" borderId="0" xfId="0" applyFont="1" applyBorder="1" applyAlignment="1">
      <alignment horizontal="left"/>
    </xf>
    <xf numFmtId="0" fontId="0" fillId="0" borderId="1" xfId="0" applyBorder="1" applyAlignment="1">
      <alignment horizontal="center"/>
    </xf>
    <xf numFmtId="167" fontId="0" fillId="8" borderId="1" xfId="2" applyFont="1" applyFill="1" applyBorder="1"/>
    <xf numFmtId="0" fontId="33" fillId="0" borderId="0" xfId="0" applyFont="1"/>
    <xf numFmtId="0" fontId="34" fillId="0" borderId="0" xfId="0" applyFont="1"/>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171" fontId="33" fillId="0" borderId="29" xfId="8" applyFont="1" applyBorder="1" applyAlignment="1">
      <alignment vertical="center" wrapText="1"/>
    </xf>
    <xf numFmtId="44" fontId="33" fillId="0" borderId="29" xfId="0" applyNumberFormat="1" applyFont="1" applyBorder="1" applyAlignment="1">
      <alignment vertical="center" wrapText="1"/>
    </xf>
    <xf numFmtId="0" fontId="35" fillId="0" borderId="1" xfId="0" applyFont="1" applyBorder="1" applyAlignment="1">
      <alignment horizontal="center" vertical="center"/>
    </xf>
    <xf numFmtId="44" fontId="33" fillId="15" borderId="32" xfId="0" applyNumberFormat="1" applyFont="1" applyFill="1" applyBorder="1" applyAlignment="1">
      <alignment vertical="center" wrapText="1"/>
    </xf>
    <xf numFmtId="168" fontId="36" fillId="0" borderId="0" xfId="0" applyNumberFormat="1" applyFont="1" applyAlignment="1">
      <alignment horizontal="center" vertical="center"/>
    </xf>
    <xf numFmtId="0" fontId="21" fillId="0" borderId="15" xfId="0" applyFont="1" applyBorder="1" applyAlignment="1">
      <alignment horizontal="center" vertical="center" wrapText="1"/>
    </xf>
    <xf numFmtId="10" fontId="0" fillId="0" borderId="15" xfId="0" applyNumberFormat="1" applyBorder="1"/>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wrapText="1"/>
    </xf>
    <xf numFmtId="0" fontId="0" fillId="0" borderId="20" xfId="0" applyBorder="1" applyAlignment="1">
      <alignment horizontal="center" vertical="center"/>
    </xf>
    <xf numFmtId="0" fontId="0" fillId="0" borderId="20" xfId="0" applyBorder="1"/>
    <xf numFmtId="167" fontId="0" fillId="8" borderId="20" xfId="2" applyFont="1" applyFill="1" applyBorder="1"/>
    <xf numFmtId="167" fontId="0" fillId="0" borderId="20" xfId="2" applyFont="1" applyBorder="1"/>
    <xf numFmtId="44" fontId="0" fillId="0" borderId="20" xfId="0" applyNumberFormat="1" applyBorder="1"/>
    <xf numFmtId="3" fontId="0" fillId="0" borderId="20" xfId="0" applyNumberFormat="1" applyBorder="1"/>
    <xf numFmtId="0" fontId="0" fillId="0" borderId="20" xfId="0" applyBorder="1" applyAlignment="1">
      <alignment horizontal="center" vertical="center" wrapText="1"/>
    </xf>
    <xf numFmtId="44" fontId="21" fillId="8" borderId="20" xfId="0" applyNumberFormat="1" applyFont="1" applyFill="1" applyBorder="1"/>
    <xf numFmtId="44" fontId="21" fillId="0" borderId="20" xfId="0" applyNumberFormat="1" applyFont="1" applyBorder="1"/>
    <xf numFmtId="0" fontId="0" fillId="0" borderId="5" xfId="0" applyBorder="1" applyAlignment="1">
      <alignment horizontal="center"/>
    </xf>
    <xf numFmtId="0" fontId="0" fillId="0" borderId="1" xfId="0" applyBorder="1" applyAlignment="1">
      <alignment wrapText="1"/>
    </xf>
    <xf numFmtId="3" fontId="0" fillId="0" borderId="1" xfId="0" applyNumberFormat="1" applyBorder="1"/>
    <xf numFmtId="0" fontId="21" fillId="0" borderId="0" xfId="0" applyFont="1"/>
    <xf numFmtId="44" fontId="21" fillId="0" borderId="0" xfId="0" applyNumberFormat="1" applyFont="1"/>
    <xf numFmtId="0" fontId="21" fillId="0" borderId="1" xfId="0" applyFont="1" applyBorder="1" applyAlignment="1">
      <alignment horizontal="center"/>
    </xf>
    <xf numFmtId="0" fontId="0" fillId="0" borderId="1" xfId="0" applyBorder="1"/>
    <xf numFmtId="44" fontId="21" fillId="0" borderId="1" xfId="0" applyNumberFormat="1" applyFont="1" applyBorder="1"/>
    <xf numFmtId="0" fontId="0" fillId="0" borderId="0" xfId="0" applyAlignment="1">
      <alignment vertical="center"/>
    </xf>
    <xf numFmtId="0" fontId="0" fillId="0" borderId="15" xfId="0" applyBorder="1" applyAlignment="1">
      <alignment horizontal="center" vertical="center"/>
    </xf>
    <xf numFmtId="0" fontId="21" fillId="0" borderId="35" xfId="0" applyFont="1" applyBorder="1" applyAlignment="1">
      <alignment vertical="center" wrapText="1"/>
    </xf>
    <xf numFmtId="0" fontId="0" fillId="0" borderId="20" xfId="0" applyBorder="1" applyAlignment="1">
      <alignment vertical="center" wrapText="1"/>
    </xf>
    <xf numFmtId="0" fontId="0" fillId="0" borderId="20" xfId="0" applyBorder="1" applyAlignment="1">
      <alignment vertical="center"/>
    </xf>
    <xf numFmtId="167" fontId="0" fillId="8" borderId="20" xfId="2" applyFont="1" applyFill="1" applyBorder="1" applyAlignment="1">
      <alignment vertical="center"/>
    </xf>
    <xf numFmtId="167" fontId="0" fillId="0" borderId="20" xfId="2" applyFont="1" applyBorder="1" applyAlignment="1">
      <alignment vertical="center"/>
    </xf>
    <xf numFmtId="9" fontId="0" fillId="0" borderId="20" xfId="0" applyNumberFormat="1" applyBorder="1" applyAlignment="1">
      <alignment horizontal="center" vertical="center"/>
    </xf>
    <xf numFmtId="1" fontId="0" fillId="0" borderId="20" xfId="0" applyNumberFormat="1" applyBorder="1" applyAlignment="1">
      <alignment horizontal="center" vertical="center"/>
    </xf>
    <xf numFmtId="44" fontId="0" fillId="0" borderId="20" xfId="0" applyNumberFormat="1" applyBorder="1" applyAlignment="1">
      <alignment vertical="center"/>
    </xf>
    <xf numFmtId="44" fontId="0" fillId="0" borderId="0" xfId="0" applyNumberFormat="1" applyAlignment="1">
      <alignment vertical="center"/>
    </xf>
    <xf numFmtId="3" fontId="0" fillId="0" borderId="20" xfId="0" applyNumberFormat="1" applyBorder="1" applyAlignment="1">
      <alignment vertical="center"/>
    </xf>
    <xf numFmtId="167" fontId="0" fillId="8" borderId="36" xfId="2" applyFont="1" applyFill="1" applyBorder="1" applyAlignment="1">
      <alignment vertical="center"/>
    </xf>
    <xf numFmtId="167" fontId="0" fillId="0" borderId="36" xfId="2" applyFont="1" applyBorder="1" applyAlignment="1">
      <alignment vertical="center"/>
    </xf>
    <xf numFmtId="9" fontId="0" fillId="0" borderId="36" xfId="0" applyNumberFormat="1" applyBorder="1" applyAlignment="1">
      <alignment horizontal="center" vertical="center"/>
    </xf>
    <xf numFmtId="1" fontId="0" fillId="0" borderId="36" xfId="0" applyNumberFormat="1" applyBorder="1" applyAlignment="1">
      <alignment horizontal="center" vertical="center"/>
    </xf>
    <xf numFmtId="0" fontId="21" fillId="0" borderId="2" xfId="0" applyFont="1" applyBorder="1" applyAlignment="1">
      <alignment vertical="center"/>
    </xf>
    <xf numFmtId="44" fontId="21" fillId="0" borderId="33" xfId="0" applyNumberFormat="1" applyFont="1" applyBorder="1" applyAlignment="1">
      <alignment vertical="center"/>
    </xf>
    <xf numFmtId="0" fontId="21" fillId="0" borderId="33" xfId="0" applyFont="1" applyBorder="1" applyAlignment="1">
      <alignment vertical="center"/>
    </xf>
    <xf numFmtId="44" fontId="21" fillId="0" borderId="15" xfId="0" applyNumberFormat="1" applyFont="1" applyBorder="1" applyAlignment="1">
      <alignment vertical="center"/>
    </xf>
    <xf numFmtId="44" fontId="0" fillId="0" borderId="15" xfId="0" applyNumberFormat="1" applyBorder="1" applyAlignment="1">
      <alignment vertical="center"/>
    </xf>
    <xf numFmtId="44" fontId="21" fillId="0" borderId="0" xfId="0" applyNumberFormat="1" applyFont="1" applyAlignment="1">
      <alignment vertical="center"/>
    </xf>
    <xf numFmtId="0" fontId="10" fillId="0" borderId="1" xfId="0" applyFont="1" applyBorder="1" applyAlignment="1">
      <alignment horizontal="center"/>
    </xf>
    <xf numFmtId="10" fontId="8" fillId="8" borderId="1" xfId="0" applyNumberFormat="1" applyFont="1" applyFill="1" applyBorder="1" applyAlignment="1"/>
    <xf numFmtId="10" fontId="27" fillId="0" borderId="1" xfId="3" applyNumberFormat="1" applyFont="1" applyBorder="1" applyAlignment="1" applyProtection="1"/>
    <xf numFmtId="0" fontId="8" fillId="0" borderId="1" xfId="0" applyFont="1" applyBorder="1" applyAlignment="1">
      <alignment horizontal="center"/>
    </xf>
    <xf numFmtId="0" fontId="8" fillId="0" borderId="0" xfId="0" applyFont="1" applyBorder="1" applyAlignment="1">
      <alignment horizontal="center"/>
    </xf>
    <xf numFmtId="0" fontId="10" fillId="0" borderId="1" xfId="0" applyFont="1" applyBorder="1" applyAlignment="1">
      <alignment horizontal="center"/>
    </xf>
    <xf numFmtId="0" fontId="10" fillId="4" borderId="1" xfId="0" applyFont="1" applyFill="1" applyBorder="1" applyAlignment="1">
      <alignment horizontal="center"/>
    </xf>
    <xf numFmtId="0" fontId="8" fillId="0" borderId="1" xfId="0" applyFont="1" applyBorder="1"/>
    <xf numFmtId="0" fontId="10" fillId="5" borderId="1" xfId="0" applyFont="1" applyFill="1" applyBorder="1" applyAlignment="1">
      <alignment horizontal="center"/>
    </xf>
    <xf numFmtId="0" fontId="8" fillId="0" borderId="0" xfId="0" applyFont="1" applyBorder="1" applyAlignment="1">
      <alignment horizontal="left"/>
    </xf>
    <xf numFmtId="0" fontId="18" fillId="0" borderId="0" xfId="0" applyFont="1" applyBorder="1" applyAlignment="1">
      <alignment horizontal="left"/>
    </xf>
    <xf numFmtId="167" fontId="0" fillId="0" borderId="0" xfId="0" applyNumberFormat="1"/>
    <xf numFmtId="0" fontId="9" fillId="0" borderId="0" xfId="0" applyFont="1" applyBorder="1" applyAlignment="1">
      <alignment vertical="center"/>
    </xf>
    <xf numFmtId="0" fontId="27" fillId="0" borderId="0" xfId="0" applyFont="1" applyBorder="1" applyAlignment="1">
      <alignment horizontal="center"/>
    </xf>
    <xf numFmtId="8" fontId="38" fillId="0" borderId="1" xfId="0" applyNumberFormat="1" applyFont="1" applyBorder="1" applyAlignment="1">
      <alignment horizontal="distributed" vertical="center"/>
    </xf>
    <xf numFmtId="0" fontId="38" fillId="0" borderId="1" xfId="0" applyFont="1" applyBorder="1" applyAlignment="1">
      <alignment horizontal="distributed" vertical="center"/>
    </xf>
    <xf numFmtId="168" fontId="38" fillId="0" borderId="1" xfId="0" applyNumberFormat="1" applyFont="1" applyBorder="1" applyAlignment="1">
      <alignment horizontal="distributed" vertical="center"/>
    </xf>
    <xf numFmtId="0" fontId="38" fillId="7" borderId="0" xfId="0" applyFont="1" applyFill="1" applyAlignment="1">
      <alignment horizontal="center" vertical="center"/>
    </xf>
    <xf numFmtId="0" fontId="38" fillId="7" borderId="0" xfId="0" applyFont="1" applyFill="1" applyAlignment="1">
      <alignment horizontal="left" vertical="center"/>
    </xf>
    <xf numFmtId="0" fontId="38" fillId="7" borderId="0" xfId="0" applyFont="1" applyFill="1" applyAlignment="1">
      <alignment vertical="center"/>
    </xf>
    <xf numFmtId="0" fontId="38" fillId="0" borderId="0" xfId="0" applyFont="1" applyAlignment="1">
      <alignment vertical="center"/>
    </xf>
    <xf numFmtId="0" fontId="38" fillId="0" borderId="0" xfId="0" applyFont="1" applyAlignment="1">
      <alignment horizontal="left" vertical="center"/>
    </xf>
    <xf numFmtId="0" fontId="41" fillId="0" borderId="0" xfId="0" applyFont="1"/>
    <xf numFmtId="0" fontId="21" fillId="0" borderId="1" xfId="0" applyFont="1" applyBorder="1" applyAlignment="1">
      <alignment horizontal="center" vertical="center"/>
    </xf>
    <xf numFmtId="0" fontId="27" fillId="0" borderId="0" xfId="0" applyFont="1" applyBorder="1" applyAlignment="1">
      <alignment horizontal="center"/>
    </xf>
    <xf numFmtId="0" fontId="38" fillId="0" borderId="0" xfId="0" applyFont="1" applyBorder="1" applyAlignment="1">
      <alignment horizontal="center"/>
    </xf>
    <xf numFmtId="0" fontId="42" fillId="0" borderId="0" xfId="0" applyFont="1" applyBorder="1" applyAlignment="1">
      <alignment horizontal="center"/>
    </xf>
    <xf numFmtId="0" fontId="38" fillId="0" borderId="0" xfId="0" applyFont="1" applyAlignment="1">
      <alignment horizontal="left"/>
    </xf>
    <xf numFmtId="0" fontId="38" fillId="0" borderId="0" xfId="0" applyFont="1" applyBorder="1" applyAlignment="1">
      <alignment horizontal="left"/>
    </xf>
    <xf numFmtId="0" fontId="42" fillId="0" borderId="1" xfId="0" applyFont="1" applyBorder="1" applyAlignment="1">
      <alignment horizontal="center"/>
    </xf>
    <xf numFmtId="0" fontId="38" fillId="0" borderId="1" xfId="0" applyFont="1" applyBorder="1"/>
    <xf numFmtId="167" fontId="38" fillId="0" borderId="1" xfId="2" applyFont="1" applyBorder="1" applyProtection="1"/>
    <xf numFmtId="10" fontId="38" fillId="0" borderId="1" xfId="3" applyNumberFormat="1" applyFont="1" applyBorder="1" applyAlignment="1" applyProtection="1">
      <alignment horizontal="center"/>
    </xf>
    <xf numFmtId="167" fontId="42" fillId="0" borderId="1" xfId="2" applyFont="1" applyBorder="1" applyProtection="1"/>
    <xf numFmtId="10" fontId="38" fillId="0" borderId="1" xfId="0" applyNumberFormat="1" applyFont="1" applyBorder="1" applyAlignment="1">
      <alignment horizontal="center"/>
    </xf>
    <xf numFmtId="167" fontId="38" fillId="0" borderId="1" xfId="2" applyFont="1" applyBorder="1"/>
    <xf numFmtId="10" fontId="42" fillId="0" borderId="1" xfId="0" applyNumberFormat="1" applyFont="1" applyBorder="1" applyAlignment="1">
      <alignment horizontal="center"/>
    </xf>
    <xf numFmtId="167" fontId="42" fillId="0" borderId="1" xfId="2" applyFont="1" applyBorder="1"/>
    <xf numFmtId="0" fontId="42" fillId="4" borderId="1" xfId="0" applyFont="1" applyFill="1" applyBorder="1" applyAlignment="1">
      <alignment horizontal="center"/>
    </xf>
    <xf numFmtId="167" fontId="38" fillId="0" borderId="1" xfId="2" applyFont="1" applyBorder="1"/>
    <xf numFmtId="10" fontId="42" fillId="4" borderId="1" xfId="0" applyNumberFormat="1" applyFont="1" applyFill="1" applyBorder="1" applyAlignment="1">
      <alignment horizontal="center"/>
    </xf>
    <xf numFmtId="166" fontId="38" fillId="0" borderId="1" xfId="1" applyFont="1" applyBorder="1" applyAlignment="1" applyProtection="1">
      <alignment horizontal="center"/>
    </xf>
    <xf numFmtId="0" fontId="42" fillId="0" borderId="2" xfId="0" applyFont="1" applyBorder="1" applyAlignment="1">
      <alignment horizontal="center"/>
    </xf>
    <xf numFmtId="2" fontId="42" fillId="0" borderId="2" xfId="0" applyNumberFormat="1" applyFont="1" applyBorder="1"/>
    <xf numFmtId="10" fontId="38" fillId="3" borderId="1" xfId="0" applyNumberFormat="1" applyFont="1" applyFill="1" applyBorder="1" applyAlignment="1">
      <alignment horizontal="center"/>
    </xf>
    <xf numFmtId="0" fontId="42" fillId="5" borderId="1" xfId="0" applyFont="1" applyFill="1" applyBorder="1" applyAlignment="1">
      <alignment horizontal="center"/>
    </xf>
    <xf numFmtId="0" fontId="38" fillId="0" borderId="1" xfId="0" applyFont="1" applyBorder="1" applyAlignment="1">
      <alignment horizontal="center"/>
    </xf>
    <xf numFmtId="10" fontId="38" fillId="8" borderId="1" xfId="0" applyNumberFormat="1" applyFont="1" applyFill="1" applyBorder="1" applyAlignment="1"/>
    <xf numFmtId="10" fontId="38" fillId="0" borderId="1" xfId="3" applyNumberFormat="1" applyFont="1" applyBorder="1" applyAlignment="1" applyProtection="1"/>
    <xf numFmtId="10" fontId="42" fillId="0" borderId="1" xfId="3" applyNumberFormat="1" applyFont="1" applyBorder="1" applyAlignment="1" applyProtection="1"/>
    <xf numFmtId="10" fontId="43" fillId="0" borderId="2" xfId="3" applyNumberFormat="1" applyFont="1" applyBorder="1" applyAlignment="1" applyProtection="1"/>
    <xf numFmtId="2" fontId="43" fillId="0" borderId="10" xfId="0" applyNumberFormat="1" applyFont="1" applyBorder="1"/>
    <xf numFmtId="10" fontId="43" fillId="0" borderId="0" xfId="3" applyNumberFormat="1" applyFont="1" applyBorder="1" applyAlignment="1" applyProtection="1"/>
    <xf numFmtId="2" fontId="43" fillId="0" borderId="12" xfId="0" applyNumberFormat="1" applyFont="1" applyBorder="1"/>
    <xf numFmtId="0" fontId="43" fillId="0" borderId="0" xfId="0" applyFont="1" applyBorder="1" applyAlignment="1">
      <alignment horizontal="left"/>
    </xf>
    <xf numFmtId="10" fontId="43" fillId="0" borderId="13" xfId="3" applyNumberFormat="1" applyFont="1" applyBorder="1" applyAlignment="1" applyProtection="1"/>
    <xf numFmtId="2" fontId="43" fillId="0" borderId="14" xfId="0" applyNumberFormat="1" applyFont="1" applyBorder="1"/>
    <xf numFmtId="2" fontId="42" fillId="0" borderId="0" xfId="0" applyNumberFormat="1" applyFont="1" applyBorder="1"/>
    <xf numFmtId="167" fontId="38" fillId="8" borderId="1" xfId="2" applyFont="1" applyFill="1" applyBorder="1" applyProtection="1"/>
    <xf numFmtId="0" fontId="38" fillId="0" borderId="0" xfId="0" applyFont="1"/>
    <xf numFmtId="2" fontId="38" fillId="0" borderId="0" xfId="0" applyNumberFormat="1" applyFont="1"/>
    <xf numFmtId="0" fontId="38" fillId="0" borderId="0" xfId="0" applyFont="1" applyBorder="1" applyAlignment="1">
      <alignment horizontal="center"/>
    </xf>
    <xf numFmtId="0" fontId="22" fillId="20" borderId="1" xfId="0" applyFont="1" applyFill="1" applyBorder="1" applyAlignment="1">
      <alignment horizontal="center" vertical="center" wrapText="1"/>
    </xf>
    <xf numFmtId="0" fontId="21" fillId="20" borderId="1" xfId="0" applyFont="1" applyFill="1" applyBorder="1" applyAlignment="1">
      <alignment horizontal="center" vertical="center" wrapText="1"/>
    </xf>
    <xf numFmtId="8" fontId="21" fillId="20" borderId="1" xfId="0" applyNumberFormat="1" applyFont="1" applyFill="1" applyBorder="1" applyAlignment="1">
      <alignment horizontal="center" vertical="center" wrapText="1"/>
    </xf>
    <xf numFmtId="44" fontId="21" fillId="20" borderId="32" xfId="0" applyNumberFormat="1" applyFont="1" applyFill="1" applyBorder="1" applyAlignment="1">
      <alignment vertical="center" wrapText="1"/>
    </xf>
    <xf numFmtId="0" fontId="44" fillId="0" borderId="0" xfId="0" applyFont="1" applyBorder="1" applyAlignment="1">
      <alignment horizontal="center"/>
    </xf>
    <xf numFmtId="0" fontId="44" fillId="0" borderId="0" xfId="0" applyFont="1" applyAlignment="1">
      <alignment horizontal="left"/>
    </xf>
    <xf numFmtId="0" fontId="27" fillId="0" borderId="1" xfId="0" applyFont="1" applyBorder="1" applyAlignment="1">
      <alignment horizontal="center"/>
    </xf>
    <xf numFmtId="167" fontId="44" fillId="0" borderId="1" xfId="2" applyFont="1" applyBorder="1" applyProtection="1"/>
    <xf numFmtId="167" fontId="27" fillId="0" borderId="1" xfId="2" applyFont="1" applyBorder="1" applyProtection="1"/>
    <xf numFmtId="167" fontId="44" fillId="0" borderId="1" xfId="2" applyFont="1" applyBorder="1"/>
    <xf numFmtId="167" fontId="27" fillId="0" borderId="1" xfId="2" applyFont="1" applyBorder="1"/>
    <xf numFmtId="0" fontId="27" fillId="4" borderId="1" xfId="0" applyFont="1" applyFill="1" applyBorder="1" applyAlignment="1">
      <alignment horizontal="center"/>
    </xf>
    <xf numFmtId="2" fontId="27" fillId="0" borderId="2" xfId="0" applyNumberFormat="1" applyFont="1" applyBorder="1"/>
    <xf numFmtId="0" fontId="27" fillId="5" borderId="1" xfId="0" applyFont="1" applyFill="1" applyBorder="1" applyAlignment="1">
      <alignment horizontal="center"/>
    </xf>
    <xf numFmtId="2" fontId="45" fillId="0" borderId="10" xfId="0" applyNumberFormat="1" applyFont="1" applyBorder="1"/>
    <xf numFmtId="2" fontId="45" fillId="0" borderId="12" xfId="0" applyNumberFormat="1" applyFont="1" applyBorder="1"/>
    <xf numFmtId="2" fontId="45" fillId="0" borderId="14" xfId="0" applyNumberFormat="1" applyFont="1" applyBorder="1"/>
    <xf numFmtId="2" fontId="27" fillId="0" borderId="0" xfId="0" applyNumberFormat="1" applyFont="1" applyBorder="1"/>
    <xf numFmtId="167" fontId="44" fillId="8" borderId="1" xfId="2" applyFont="1" applyFill="1" applyBorder="1" applyProtection="1"/>
    <xf numFmtId="2" fontId="44" fillId="0" borderId="0" xfId="0" applyNumberFormat="1" applyFont="1"/>
    <xf numFmtId="0" fontId="44" fillId="0" borderId="0" xfId="0" applyFont="1"/>
    <xf numFmtId="8" fontId="21" fillId="7" borderId="1" xfId="0" applyNumberFormat="1" applyFont="1" applyFill="1" applyBorder="1" applyAlignment="1">
      <alignment horizontal="distributed" vertical="center"/>
    </xf>
    <xf numFmtId="0" fontId="24" fillId="0" borderId="0" xfId="0" applyFont="1"/>
    <xf numFmtId="0" fontId="49" fillId="0" borderId="0" xfId="0" applyFont="1" applyAlignment="1">
      <alignment vertical="center"/>
    </xf>
    <xf numFmtId="0" fontId="48" fillId="22" borderId="1" xfId="0" applyFont="1" applyFill="1" applyBorder="1" applyAlignment="1">
      <alignment horizontal="center" vertical="center"/>
    </xf>
    <xf numFmtId="167" fontId="27" fillId="8" borderId="1" xfId="2" applyFont="1" applyFill="1" applyBorder="1" applyProtection="1"/>
    <xf numFmtId="0" fontId="49" fillId="0" borderId="1" xfId="0" applyFont="1" applyBorder="1" applyAlignment="1">
      <alignment horizontal="center" vertical="center" wrapText="1"/>
    </xf>
    <xf numFmtId="0" fontId="48" fillId="0" borderId="1" xfId="0" applyFont="1" applyBorder="1" applyAlignment="1">
      <alignment horizontal="center" vertical="center"/>
    </xf>
    <xf numFmtId="0" fontId="10" fillId="4" borderId="1" xfId="0" applyFont="1" applyFill="1" applyBorder="1" applyAlignment="1">
      <alignment horizontal="center"/>
    </xf>
    <xf numFmtId="0" fontId="50" fillId="0" borderId="9" xfId="0" applyFont="1" applyBorder="1" applyAlignment="1">
      <alignment horizontal="center"/>
    </xf>
    <xf numFmtId="10" fontId="50" fillId="0" borderId="2" xfId="3" applyNumberFormat="1" applyFont="1" applyBorder="1" applyAlignment="1" applyProtection="1"/>
    <xf numFmtId="2" fontId="50" fillId="0" borderId="10" xfId="0" applyNumberFormat="1" applyFont="1" applyBorder="1"/>
    <xf numFmtId="0" fontId="50" fillId="0" borderId="11" xfId="0" applyFont="1" applyBorder="1" applyAlignment="1">
      <alignment horizontal="center"/>
    </xf>
    <xf numFmtId="10" fontId="50" fillId="0" borderId="0" xfId="3" applyNumberFormat="1" applyFont="1" applyBorder="1" applyAlignment="1" applyProtection="1"/>
    <xf numFmtId="2" fontId="50" fillId="0" borderId="12" xfId="0" applyNumberFormat="1" applyFont="1" applyBorder="1"/>
    <xf numFmtId="0" fontId="51" fillId="0" borderId="11" xfId="0" applyFont="1" applyBorder="1"/>
    <xf numFmtId="0" fontId="50" fillId="0" borderId="0" xfId="0" applyFont="1" applyBorder="1" applyAlignment="1">
      <alignment horizontal="left"/>
    </xf>
    <xf numFmtId="0" fontId="50" fillId="0" borderId="5" xfId="0" applyFont="1" applyBorder="1" applyAlignment="1">
      <alignment horizontal="center"/>
    </xf>
    <xf numFmtId="10" fontId="50" fillId="0" borderId="13" xfId="3" applyNumberFormat="1" applyFont="1" applyBorder="1" applyAlignment="1" applyProtection="1"/>
    <xf numFmtId="2" fontId="50" fillId="0" borderId="14" xfId="0" applyNumberFormat="1" applyFont="1" applyBorder="1"/>
    <xf numFmtId="44" fontId="41" fillId="0" borderId="0" xfId="0" applyNumberFormat="1" applyFont="1"/>
    <xf numFmtId="0" fontId="53" fillId="0" borderId="0" xfId="4" applyFont="1" applyAlignment="1">
      <alignment vertical="center"/>
    </xf>
    <xf numFmtId="0" fontId="38" fillId="0" borderId="0" xfId="4" applyFont="1" applyAlignment="1">
      <alignment vertical="center"/>
    </xf>
    <xf numFmtId="0" fontId="53" fillId="0" borderId="1" xfId="4" applyFont="1" applyBorder="1" applyAlignment="1">
      <alignment horizontal="center" vertical="center"/>
    </xf>
    <xf numFmtId="0" fontId="53" fillId="0" borderId="1" xfId="4" applyFont="1" applyBorder="1" applyAlignment="1">
      <alignment horizontal="left" vertical="center"/>
    </xf>
    <xf numFmtId="169" fontId="38" fillId="0" borderId="0" xfId="4" applyNumberFormat="1" applyFont="1" applyAlignment="1">
      <alignment vertical="center"/>
    </xf>
    <xf numFmtId="0" fontId="52" fillId="0" borderId="1" xfId="4" applyFont="1" applyBorder="1" applyAlignment="1">
      <alignment horizontal="center" vertical="center"/>
    </xf>
    <xf numFmtId="0" fontId="53" fillId="7" borderId="1" xfId="4" applyFont="1" applyFill="1" applyBorder="1" applyAlignment="1">
      <alignment horizontal="center" vertical="center"/>
    </xf>
    <xf numFmtId="10" fontId="53" fillId="0" borderId="1" xfId="6" applyNumberFormat="1" applyFont="1" applyBorder="1" applyAlignment="1">
      <alignment horizontal="center" vertical="center"/>
    </xf>
    <xf numFmtId="2" fontId="53" fillId="0" borderId="1" xfId="4" applyNumberFormat="1" applyFont="1" applyBorder="1" applyAlignment="1">
      <alignment horizontal="left" vertical="center" wrapText="1"/>
    </xf>
    <xf numFmtId="10" fontId="38" fillId="0" borderId="0" xfId="4" applyNumberFormat="1" applyFont="1" applyAlignment="1">
      <alignment vertical="center"/>
    </xf>
    <xf numFmtId="0" fontId="38" fillId="7" borderId="1" xfId="4" applyFont="1" applyFill="1" applyBorder="1" applyAlignment="1">
      <alignment horizontal="center" vertical="center"/>
    </xf>
    <xf numFmtId="0" fontId="38" fillId="0" borderId="1" xfId="4" applyFont="1" applyBorder="1" applyAlignment="1">
      <alignment horizontal="left" vertical="center"/>
    </xf>
    <xf numFmtId="10" fontId="38" fillId="0" borderId="1" xfId="6" applyNumberFormat="1" applyFont="1" applyFill="1" applyBorder="1" applyAlignment="1">
      <alignment horizontal="center" vertical="center"/>
    </xf>
    <xf numFmtId="0" fontId="38" fillId="0" borderId="1" xfId="4" applyFont="1" applyBorder="1" applyAlignment="1">
      <alignment horizontal="center" vertical="center"/>
    </xf>
    <xf numFmtId="0" fontId="38" fillId="0" borderId="1" xfId="4" applyFont="1" applyBorder="1" applyAlignment="1">
      <alignment vertical="center" wrapText="1"/>
    </xf>
    <xf numFmtId="0" fontId="38" fillId="0" borderId="1" xfId="4" applyFont="1" applyBorder="1" applyAlignment="1">
      <alignment vertical="center"/>
    </xf>
    <xf numFmtId="2" fontId="53" fillId="0" borderId="0" xfId="4" applyNumberFormat="1" applyFont="1" applyAlignment="1">
      <alignment vertical="center"/>
    </xf>
    <xf numFmtId="10" fontId="52" fillId="12" borderId="1" xfId="4" applyNumberFormat="1" applyFont="1" applyFill="1" applyBorder="1" applyAlignment="1">
      <alignment vertical="center"/>
    </xf>
    <xf numFmtId="0" fontId="53" fillId="12" borderId="0" xfId="4" applyFont="1" applyFill="1" applyAlignment="1">
      <alignment vertical="center"/>
    </xf>
    <xf numFmtId="49" fontId="53" fillId="0" borderId="1" xfId="4" applyNumberFormat="1" applyFont="1" applyBorder="1" applyAlignment="1">
      <alignment horizontal="left" vertical="center"/>
    </xf>
    <xf numFmtId="49" fontId="53" fillId="0" borderId="1" xfId="4" applyNumberFormat="1" applyFont="1" applyBorder="1" applyAlignment="1">
      <alignment horizontal="left" vertical="center" wrapText="1"/>
    </xf>
    <xf numFmtId="49" fontId="53" fillId="0" borderId="1" xfId="4" applyNumberFormat="1" applyFont="1" applyBorder="1" applyAlignment="1">
      <alignment horizontal="justify" vertical="center"/>
    </xf>
    <xf numFmtId="0" fontId="43" fillId="0" borderId="2" xfId="4" applyFont="1" applyBorder="1" applyAlignment="1">
      <alignment vertical="center"/>
    </xf>
    <xf numFmtId="0" fontId="53" fillId="0" borderId="0" xfId="4" applyFont="1" applyAlignment="1">
      <alignment horizontal="left" vertical="center"/>
    </xf>
    <xf numFmtId="10" fontId="52" fillId="10" borderId="0" xfId="4" applyNumberFormat="1" applyFont="1" applyFill="1" applyAlignment="1">
      <alignment horizontal="center" vertical="center"/>
    </xf>
    <xf numFmtId="4" fontId="52" fillId="10" borderId="0" xfId="4" applyNumberFormat="1" applyFont="1" applyFill="1" applyAlignment="1">
      <alignment horizontal="center" vertical="center"/>
    </xf>
    <xf numFmtId="0" fontId="53" fillId="0" borderId="1" xfId="4" applyFont="1" applyBorder="1" applyAlignment="1">
      <alignment horizontal="left" vertical="center" wrapText="1"/>
    </xf>
    <xf numFmtId="0" fontId="52" fillId="0" borderId="1" xfId="4" applyFont="1" applyBorder="1" applyAlignment="1">
      <alignment vertical="center"/>
    </xf>
    <xf numFmtId="0" fontId="38" fillId="0" borderId="1" xfId="0" applyFont="1" applyBorder="1" applyAlignment="1">
      <alignment horizontal="justify" vertical="center"/>
    </xf>
    <xf numFmtId="2" fontId="38" fillId="0" borderId="0" xfId="4" applyNumberFormat="1" applyFont="1" applyAlignment="1">
      <alignment vertical="center"/>
    </xf>
    <xf numFmtId="9" fontId="54" fillId="0" borderId="0" xfId="6" applyFont="1" applyFill="1" applyAlignment="1">
      <alignment horizontal="center" vertical="center"/>
    </xf>
    <xf numFmtId="10" fontId="38" fillId="0" borderId="1" xfId="0" applyNumberFormat="1" applyFont="1" applyBorder="1" applyAlignment="1">
      <alignment horizontal="justify" vertical="center" wrapText="1"/>
    </xf>
    <xf numFmtId="2" fontId="38" fillId="0" borderId="1" xfId="4" applyNumberFormat="1" applyFont="1" applyBorder="1" applyAlignment="1">
      <alignment horizontal="left" vertical="center"/>
    </xf>
    <xf numFmtId="10" fontId="38" fillId="0" borderId="1" xfId="6" applyNumberFormat="1" applyFont="1" applyBorder="1" applyAlignment="1">
      <alignment horizontal="center" vertical="center"/>
    </xf>
    <xf numFmtId="10" fontId="53" fillId="0" borderId="0" xfId="4" applyNumberFormat="1" applyFont="1" applyAlignment="1">
      <alignment vertical="center"/>
    </xf>
    <xf numFmtId="2" fontId="38" fillId="0" borderId="0" xfId="4" applyNumberFormat="1" applyFont="1" applyAlignment="1">
      <alignment horizontal="center" vertical="center"/>
    </xf>
    <xf numFmtId="170" fontId="38" fillId="0" borderId="0" xfId="4" applyNumberFormat="1" applyFont="1" applyAlignment="1">
      <alignment vertical="center"/>
    </xf>
    <xf numFmtId="10" fontId="53" fillId="7" borderId="1" xfId="6" applyNumberFormat="1" applyFont="1" applyFill="1" applyBorder="1" applyAlignment="1">
      <alignment horizontal="center" vertical="center"/>
    </xf>
    <xf numFmtId="2" fontId="53" fillId="0" borderId="1" xfId="4" applyNumberFormat="1" applyFont="1" applyBorder="1" applyAlignment="1">
      <alignment horizontal="justify" vertical="justify"/>
    </xf>
    <xf numFmtId="4" fontId="53" fillId="0" borderId="1" xfId="4" applyNumberFormat="1" applyFont="1" applyBorder="1" applyAlignment="1">
      <alignment horizontal="center" vertical="center"/>
    </xf>
    <xf numFmtId="10" fontId="52" fillId="10" borderId="17" xfId="4" applyNumberFormat="1" applyFont="1" applyFill="1" applyBorder="1" applyAlignment="1">
      <alignment horizontal="center" vertical="center"/>
    </xf>
    <xf numFmtId="4" fontId="52" fillId="10" borderId="19" xfId="4" applyNumberFormat="1" applyFont="1" applyFill="1" applyBorder="1" applyAlignment="1">
      <alignment horizontal="center" vertical="center"/>
    </xf>
    <xf numFmtId="10" fontId="53" fillId="0" borderId="1" xfId="6" applyNumberFormat="1" applyFont="1" applyFill="1" applyBorder="1" applyAlignment="1">
      <alignment horizontal="center" vertical="center"/>
    </xf>
    <xf numFmtId="0" fontId="55" fillId="0" borderId="0" xfId="4" applyFont="1" applyAlignment="1">
      <alignment vertical="center"/>
    </xf>
    <xf numFmtId="169" fontId="55" fillId="0" borderId="0" xfId="4" applyNumberFormat="1" applyFont="1" applyAlignment="1">
      <alignment vertical="center"/>
    </xf>
    <xf numFmtId="10" fontId="52" fillId="0" borderId="1" xfId="6" applyNumberFormat="1" applyFont="1" applyBorder="1" applyAlignment="1">
      <alignment horizontal="center" vertical="center"/>
    </xf>
    <xf numFmtId="4" fontId="53" fillId="0" borderId="0" xfId="4" applyNumberFormat="1" applyFont="1" applyAlignment="1">
      <alignment vertical="center"/>
    </xf>
    <xf numFmtId="0" fontId="53" fillId="0" borderId="22" xfId="4" applyFont="1" applyBorder="1" applyAlignment="1">
      <alignment horizontal="center" vertical="center"/>
    </xf>
    <xf numFmtId="2" fontId="53" fillId="0" borderId="22" xfId="4" applyNumberFormat="1" applyFont="1" applyBorder="1" applyAlignment="1">
      <alignment horizontal="center" vertical="center"/>
    </xf>
    <xf numFmtId="9" fontId="38" fillId="0" borderId="0" xfId="4" applyNumberFormat="1" applyFont="1" applyAlignment="1">
      <alignment vertical="center"/>
    </xf>
    <xf numFmtId="10" fontId="52" fillId="8" borderId="15" xfId="6" applyNumberFormat="1" applyFont="1" applyFill="1" applyBorder="1" applyAlignment="1">
      <alignment horizontal="center" vertical="center"/>
    </xf>
    <xf numFmtId="4" fontId="38" fillId="0" borderId="0" xfId="4" applyNumberFormat="1" applyFont="1" applyAlignment="1">
      <alignment vertical="center"/>
    </xf>
    <xf numFmtId="10" fontId="38" fillId="0" borderId="1" xfId="4" applyNumberFormat="1" applyFont="1" applyBorder="1" applyAlignment="1">
      <alignment horizontal="center" vertical="center"/>
    </xf>
    <xf numFmtId="10" fontId="8" fillId="7" borderId="1" xfId="0" applyNumberFormat="1" applyFont="1" applyFill="1" applyBorder="1" applyAlignment="1">
      <alignment horizontal="center"/>
    </xf>
    <xf numFmtId="10" fontId="38" fillId="7" borderId="1" xfId="0" applyNumberFormat="1" applyFont="1" applyFill="1" applyBorder="1" applyAlignment="1">
      <alignment horizontal="center"/>
    </xf>
    <xf numFmtId="2" fontId="38" fillId="0" borderId="1" xfId="0" applyNumberFormat="1" applyFont="1" applyBorder="1" applyAlignment="1">
      <alignment horizontal="left" vertical="justify" wrapText="1"/>
    </xf>
    <xf numFmtId="2" fontId="53" fillId="0" borderId="1" xfId="0" applyNumberFormat="1" applyFont="1" applyBorder="1" applyAlignment="1">
      <alignment horizontal="left" wrapText="1"/>
    </xf>
    <xf numFmtId="10" fontId="56" fillId="0" borderId="11" xfId="0" applyNumberFormat="1" applyFont="1" applyBorder="1" applyAlignment="1">
      <alignment horizontal="justify" vertical="center" wrapText="1"/>
    </xf>
    <xf numFmtId="2" fontId="53" fillId="0" borderId="1" xfId="0" applyNumberFormat="1" applyFont="1" applyBorder="1" applyAlignment="1">
      <alignment wrapText="1"/>
    </xf>
    <xf numFmtId="166" fontId="14" fillId="0" borderId="1" xfId="1" applyFont="1" applyBorder="1" applyAlignment="1" applyProtection="1">
      <alignment horizontal="center"/>
    </xf>
    <xf numFmtId="167" fontId="57" fillId="0" borderId="1" xfId="2" applyFont="1" applyBorder="1" applyProtection="1"/>
    <xf numFmtId="167" fontId="14" fillId="0" borderId="1" xfId="2" applyFont="1" applyBorder="1" applyProtection="1"/>
    <xf numFmtId="167" fontId="58" fillId="0" borderId="1" xfId="2" applyFont="1" applyBorder="1" applyProtection="1"/>
    <xf numFmtId="167" fontId="56" fillId="0" borderId="1" xfId="2" applyFont="1" applyBorder="1" applyProtection="1"/>
    <xf numFmtId="8" fontId="8" fillId="0" borderId="0" xfId="0" applyNumberFormat="1" applyFont="1" applyBorder="1"/>
    <xf numFmtId="43" fontId="0" fillId="0" borderId="0" xfId="0" applyNumberFormat="1"/>
    <xf numFmtId="0" fontId="21" fillId="7" borderId="19" xfId="0" applyFont="1" applyFill="1" applyBorder="1" applyAlignment="1">
      <alignment horizontal="center" vertical="center" wrapText="1"/>
    </xf>
    <xf numFmtId="0" fontId="38" fillId="0" borderId="4" xfId="0" applyFont="1" applyBorder="1" applyAlignment="1">
      <alignment horizontal="left" vertical="center"/>
    </xf>
    <xf numFmtId="0" fontId="38" fillId="0" borderId="9" xfId="0" applyFont="1" applyBorder="1" applyAlignment="1">
      <alignment horizontal="left" vertical="center"/>
    </xf>
    <xf numFmtId="0" fontId="21" fillId="7" borderId="10" xfId="0" applyFont="1" applyFill="1" applyBorder="1" applyAlignment="1">
      <alignment horizontal="center" vertical="center" wrapText="1"/>
    </xf>
    <xf numFmtId="8" fontId="38" fillId="7" borderId="19" xfId="0" applyNumberFormat="1" applyFont="1" applyFill="1" applyBorder="1" applyAlignment="1">
      <alignment horizontal="distributed" vertical="center"/>
    </xf>
    <xf numFmtId="8" fontId="38" fillId="0" borderId="0" xfId="0" applyNumberFormat="1" applyFont="1" applyAlignment="1">
      <alignment vertical="center"/>
    </xf>
    <xf numFmtId="167" fontId="8" fillId="0" borderId="1" xfId="2" applyFont="1" applyBorder="1" applyProtection="1"/>
    <xf numFmtId="167" fontId="59" fillId="0" borderId="1" xfId="2" applyFont="1" applyBorder="1" applyProtection="1"/>
    <xf numFmtId="0" fontId="10" fillId="0" borderId="1" xfId="0" applyFont="1" applyBorder="1" applyAlignment="1">
      <alignment horizontal="center"/>
    </xf>
    <xf numFmtId="0" fontId="8" fillId="0" borderId="1" xfId="0" applyFont="1" applyBorder="1" applyAlignment="1">
      <alignment horizontal="center"/>
    </xf>
    <xf numFmtId="0" fontId="38" fillId="0" borderId="1" xfId="0" applyFont="1" applyBorder="1" applyAlignment="1">
      <alignment horizontal="center"/>
    </xf>
    <xf numFmtId="0" fontId="37" fillId="0" borderId="0" xfId="0" applyFont="1" applyAlignment="1">
      <alignment horizontal="center"/>
    </xf>
    <xf numFmtId="10" fontId="8" fillId="0" borderId="1" xfId="0" applyNumberFormat="1" applyFont="1" applyFill="1" applyBorder="1" applyAlignment="1">
      <alignment horizontal="center"/>
    </xf>
    <xf numFmtId="166" fontId="8" fillId="0" borderId="1" xfId="1" applyFont="1" applyFill="1" applyBorder="1" applyAlignment="1" applyProtection="1"/>
    <xf numFmtId="0" fontId="27" fillId="0" borderId="1" xfId="0" applyFont="1" applyFill="1" applyBorder="1" applyAlignment="1">
      <alignment horizontal="center"/>
    </xf>
    <xf numFmtId="10" fontId="44" fillId="0" borderId="1" xfId="0" applyNumberFormat="1" applyFont="1" applyFill="1" applyBorder="1" applyAlignment="1">
      <alignment horizontal="center"/>
    </xf>
    <xf numFmtId="167" fontId="44" fillId="0" borderId="1" xfId="2" applyFont="1" applyFill="1" applyBorder="1"/>
    <xf numFmtId="0" fontId="21" fillId="6" borderId="4" xfId="0" applyFont="1" applyFill="1" applyBorder="1" applyAlignment="1">
      <alignment horizontal="left" vertical="center"/>
    </xf>
    <xf numFmtId="0" fontId="21" fillId="6" borderId="17" xfId="0" applyFont="1" applyFill="1" applyBorder="1" applyAlignment="1">
      <alignment horizontal="left" vertical="center"/>
    </xf>
    <xf numFmtId="8" fontId="21" fillId="6" borderId="19" xfId="0" applyNumberFormat="1" applyFont="1" applyFill="1" applyBorder="1" applyAlignment="1">
      <alignment horizontal="distributed" vertical="center"/>
    </xf>
    <xf numFmtId="0" fontId="10" fillId="0" borderId="1" xfId="0" applyFont="1" applyBorder="1" applyAlignment="1">
      <alignment horizontal="center"/>
    </xf>
    <xf numFmtId="167" fontId="44" fillId="0" borderId="1" xfId="2" applyFont="1" applyFill="1" applyBorder="1"/>
    <xf numFmtId="0" fontId="22" fillId="20" borderId="1" xfId="0" applyFont="1" applyFill="1" applyBorder="1" applyAlignment="1">
      <alignment horizontal="center" vertical="center" wrapText="1"/>
    </xf>
    <xf numFmtId="0" fontId="37" fillId="0" borderId="0" xfId="0" applyFont="1" applyAlignment="1">
      <alignment horizontal="center"/>
    </xf>
    <xf numFmtId="0" fontId="52" fillId="0" borderId="0" xfId="4" applyFont="1" applyAlignment="1">
      <alignment horizontal="center" vertical="center"/>
    </xf>
    <xf numFmtId="0" fontId="37" fillId="0" borderId="0" xfId="0" applyFont="1" applyAlignment="1">
      <alignment horizontal="center"/>
    </xf>
    <xf numFmtId="0" fontId="3" fillId="0" borderId="37" xfId="0" applyFont="1" applyBorder="1" applyAlignment="1">
      <alignment vertical="center" wrapText="1"/>
    </xf>
    <xf numFmtId="0" fontId="6" fillId="0" borderId="38" xfId="0" applyFont="1" applyBorder="1" applyAlignment="1">
      <alignment horizontal="center" vertical="center" wrapText="1"/>
    </xf>
    <xf numFmtId="171" fontId="6" fillId="0" borderId="38" xfId="8" applyFont="1" applyBorder="1" applyAlignment="1">
      <alignment vertical="center" wrapText="1"/>
    </xf>
    <xf numFmtId="0" fontId="21" fillId="0" borderId="39" xfId="0" applyFont="1" applyBorder="1" applyAlignment="1">
      <alignment horizontal="center" vertical="center"/>
    </xf>
    <xf numFmtId="44" fontId="6" fillId="0" borderId="38" xfId="0" applyNumberFormat="1" applyFont="1" applyBorder="1" applyAlignment="1">
      <alignment vertical="center" wrapText="1"/>
    </xf>
    <xf numFmtId="0" fontId="3" fillId="0" borderId="40" xfId="0" applyFont="1" applyBorder="1" applyAlignment="1">
      <alignment vertical="center" wrapText="1"/>
    </xf>
    <xf numFmtId="0" fontId="6"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0" xfId="0" applyFont="1" applyBorder="1" applyAlignment="1">
      <alignment horizontal="center" vertical="center" wrapText="1"/>
    </xf>
    <xf numFmtId="172" fontId="23" fillId="0" borderId="43" xfId="1" applyNumberFormat="1" applyFont="1" applyBorder="1" applyAlignment="1">
      <alignment horizontal="center" vertical="center"/>
    </xf>
    <xf numFmtId="171" fontId="6" fillId="0" borderId="43" xfId="8" applyFont="1" applyBorder="1" applyAlignment="1">
      <alignment vertical="center" wrapText="1"/>
    </xf>
    <xf numFmtId="0" fontId="21" fillId="0" borderId="43" xfId="0" applyFont="1" applyBorder="1" applyAlignment="1">
      <alignment horizontal="center" vertical="center"/>
    </xf>
    <xf numFmtId="44" fontId="6" fillId="0" borderId="37" xfId="0" applyNumberFormat="1" applyFont="1" applyBorder="1" applyAlignment="1">
      <alignment vertical="center" wrapText="1"/>
    </xf>
    <xf numFmtId="172" fontId="23" fillId="0" borderId="44" xfId="1" applyNumberFormat="1" applyFont="1" applyBorder="1" applyAlignment="1">
      <alignment horizontal="center" vertical="center"/>
    </xf>
    <xf numFmtId="171" fontId="6" fillId="0" borderId="44" xfId="8" applyFont="1" applyBorder="1" applyAlignment="1">
      <alignment vertical="center" wrapText="1"/>
    </xf>
    <xf numFmtId="0" fontId="21" fillId="0" borderId="44" xfId="0" applyFont="1" applyBorder="1" applyAlignment="1">
      <alignment horizontal="center" vertical="center"/>
    </xf>
    <xf numFmtId="172" fontId="23" fillId="0" borderId="45" xfId="1" applyNumberFormat="1" applyFont="1" applyBorder="1" applyAlignment="1">
      <alignment horizontal="center" vertical="center"/>
    </xf>
    <xf numFmtId="171" fontId="6" fillId="0" borderId="46" xfId="8" applyFont="1" applyBorder="1" applyAlignment="1">
      <alignment vertical="center" wrapText="1"/>
    </xf>
    <xf numFmtId="0" fontId="21" fillId="0" borderId="46" xfId="0" applyFont="1" applyBorder="1" applyAlignment="1">
      <alignment horizontal="center" vertical="center"/>
    </xf>
    <xf numFmtId="0" fontId="48" fillId="22" borderId="1" xfId="0" applyFont="1" applyFill="1" applyBorder="1" applyAlignment="1">
      <alignment horizontal="center" vertical="center" wrapText="1"/>
    </xf>
    <xf numFmtId="0" fontId="49" fillId="7" borderId="1" xfId="0" applyFont="1" applyFill="1" applyBorder="1" applyAlignment="1">
      <alignment vertical="center" wrapText="1"/>
    </xf>
    <xf numFmtId="0" fontId="49" fillId="7" borderId="1" xfId="0" applyFont="1" applyFill="1" applyBorder="1" applyAlignment="1">
      <alignment horizontal="left" vertical="center" wrapText="1"/>
    </xf>
    <xf numFmtId="4" fontId="49" fillId="0" borderId="1" xfId="2" applyNumberFormat="1" applyFont="1" applyBorder="1" applyAlignment="1">
      <alignment vertical="center"/>
    </xf>
    <xf numFmtId="4" fontId="48" fillId="6" borderId="1" xfId="0" applyNumberFormat="1" applyFont="1" applyFill="1" applyBorder="1" applyAlignment="1">
      <alignment vertical="center"/>
    </xf>
    <xf numFmtId="4" fontId="48" fillId="21" borderId="1" xfId="0" applyNumberFormat="1" applyFont="1" applyFill="1" applyBorder="1" applyAlignment="1">
      <alignment vertical="center"/>
    </xf>
    <xf numFmtId="4" fontId="49" fillId="0" borderId="1" xfId="0" applyNumberFormat="1" applyFont="1" applyBorder="1" applyAlignment="1">
      <alignment horizontal="right" vertical="center" wrapText="1"/>
    </xf>
    <xf numFmtId="0" fontId="48" fillId="7" borderId="1" xfId="0" applyFont="1" applyFill="1" applyBorder="1" applyAlignment="1">
      <alignment vertical="center"/>
    </xf>
    <xf numFmtId="0" fontId="48" fillId="7" borderId="1" xfId="0" applyFont="1" applyFill="1" applyBorder="1" applyAlignment="1">
      <alignment horizontal="center" vertical="center"/>
    </xf>
    <xf numFmtId="9" fontId="38" fillId="0" borderId="1" xfId="0" applyNumberFormat="1" applyFont="1" applyBorder="1" applyAlignment="1">
      <alignment horizontal="distributed" vertical="center"/>
    </xf>
    <xf numFmtId="9" fontId="38" fillId="7" borderId="19" xfId="0" applyNumberFormat="1" applyFont="1" applyFill="1" applyBorder="1" applyAlignment="1">
      <alignment horizontal="distributed" vertical="center"/>
    </xf>
    <xf numFmtId="0" fontId="3" fillId="0" borderId="47" xfId="0" applyFont="1" applyBorder="1" applyAlignment="1">
      <alignment vertical="center" wrapText="1"/>
    </xf>
    <xf numFmtId="0" fontId="3" fillId="0" borderId="47" xfId="0" applyFont="1" applyBorder="1" applyAlignment="1">
      <alignment horizontal="center" vertical="center" wrapText="1"/>
    </xf>
    <xf numFmtId="0" fontId="6" fillId="0" borderId="48" xfId="0" applyFont="1" applyBorder="1" applyAlignment="1">
      <alignment horizontal="center" vertical="center" wrapText="1"/>
    </xf>
    <xf numFmtId="167" fontId="23" fillId="0" borderId="49" xfId="2" applyFont="1" applyBorder="1" applyAlignment="1">
      <alignment horizontal="center" vertical="center"/>
    </xf>
    <xf numFmtId="171" fontId="6" fillId="0" borderId="26" xfId="8" applyFont="1" applyBorder="1" applyAlignment="1">
      <alignment vertical="center" wrapText="1"/>
    </xf>
    <xf numFmtId="0" fontId="21" fillId="0" borderId="47" xfId="0" applyFont="1" applyBorder="1" applyAlignment="1">
      <alignment horizontal="center" vertical="center"/>
    </xf>
    <xf numFmtId="44" fontId="6" fillId="0" borderId="26" xfId="0" applyNumberFormat="1" applyFont="1" applyBorder="1" applyAlignment="1">
      <alignment vertical="center" wrapText="1"/>
    </xf>
    <xf numFmtId="44" fontId="21" fillId="0" borderId="15" xfId="0" applyNumberFormat="1" applyFont="1" applyBorder="1" applyAlignment="1">
      <alignment vertical="center" wrapText="1"/>
    </xf>
    <xf numFmtId="0" fontId="4" fillId="0" borderId="37" xfId="0" applyFont="1" applyBorder="1" applyAlignment="1">
      <alignment horizontal="center" vertical="center" wrapText="1"/>
    </xf>
    <xf numFmtId="171" fontId="6" fillId="7" borderId="38" xfId="8" applyFont="1" applyFill="1" applyBorder="1" applyAlignment="1">
      <alignment vertical="center" wrapText="1"/>
    </xf>
    <xf numFmtId="10" fontId="57" fillId="0" borderId="1" xfId="3" applyNumberFormat="1" applyFont="1" applyBorder="1" applyAlignment="1" applyProtection="1">
      <alignment horizontal="center"/>
    </xf>
    <xf numFmtId="2" fontId="38" fillId="0" borderId="1" xfId="4" applyNumberFormat="1" applyFont="1" applyBorder="1" applyAlignment="1">
      <alignment horizontal="left" vertical="center" wrapText="1"/>
    </xf>
    <xf numFmtId="0" fontId="52" fillId="0" borderId="0" xfId="4" applyFont="1" applyAlignment="1">
      <alignment horizontal="left" vertical="center"/>
    </xf>
    <xf numFmtId="10" fontId="52" fillId="0" borderId="0" xfId="4" applyNumberFormat="1" applyFont="1" applyAlignment="1">
      <alignment horizontal="center" vertical="center"/>
    </xf>
    <xf numFmtId="4" fontId="52" fillId="0" borderId="0" xfId="4" applyNumberFormat="1" applyFont="1" applyAlignment="1">
      <alignment horizontal="center" vertical="center"/>
    </xf>
    <xf numFmtId="2" fontId="52" fillId="0" borderId="0" xfId="4" applyNumberFormat="1" applyFont="1" applyAlignment="1">
      <alignment horizontal="center" vertical="center"/>
    </xf>
    <xf numFmtId="4" fontId="53" fillId="0" borderId="1" xfId="4" applyNumberFormat="1" applyFont="1" applyBorder="1" applyAlignment="1">
      <alignment horizontal="left" vertical="center"/>
    </xf>
    <xf numFmtId="0" fontId="52" fillId="0" borderId="0" xfId="4" applyFont="1" applyAlignment="1">
      <alignment vertical="center"/>
    </xf>
    <xf numFmtId="10" fontId="56" fillId="0" borderId="1" xfId="3" applyNumberFormat="1" applyFont="1" applyBorder="1" applyAlignment="1" applyProtection="1">
      <alignment horizontal="center"/>
    </xf>
    <xf numFmtId="0" fontId="60" fillId="0" borderId="0" xfId="0" applyFont="1"/>
    <xf numFmtId="0" fontId="10" fillId="0" borderId="1" xfId="0" applyFont="1" applyBorder="1" applyAlignment="1">
      <alignment horizontal="center"/>
    </xf>
    <xf numFmtId="0" fontId="38" fillId="0" borderId="1" xfId="0" applyFont="1" applyBorder="1" applyAlignment="1">
      <alignment horizontal="center" vertical="center"/>
    </xf>
    <xf numFmtId="0" fontId="10" fillId="7" borderId="1" xfId="0" applyFont="1" applyFill="1" applyBorder="1" applyAlignment="1">
      <alignment horizontal="center"/>
    </xf>
    <xf numFmtId="167" fontId="38" fillId="7" borderId="1" xfId="2" applyFont="1" applyFill="1" applyBorder="1" applyProtection="1"/>
    <xf numFmtId="167" fontId="44" fillId="7" borderId="1" xfId="2" applyFont="1" applyFill="1" applyBorder="1" applyProtection="1"/>
    <xf numFmtId="0" fontId="61" fillId="0" borderId="0" xfId="0" applyFont="1" applyAlignment="1">
      <alignment vertical="center"/>
    </xf>
    <xf numFmtId="44" fontId="21" fillId="20" borderId="0" xfId="0" applyNumberFormat="1" applyFont="1" applyFill="1" applyBorder="1" applyAlignment="1">
      <alignment vertical="center" wrapText="1"/>
    </xf>
    <xf numFmtId="0" fontId="21" fillId="0" borderId="0" xfId="0" applyFont="1" applyBorder="1" applyAlignment="1">
      <alignment horizontal="left" vertical="center" wrapText="1"/>
    </xf>
    <xf numFmtId="0" fontId="2" fillId="0" borderId="40" xfId="0" applyFont="1" applyBorder="1" applyAlignment="1">
      <alignment vertical="center" wrapText="1"/>
    </xf>
    <xf numFmtId="0" fontId="6" fillId="0" borderId="42" xfId="0" applyNumberFormat="1" applyFont="1" applyBorder="1" applyAlignment="1">
      <alignment horizontal="center" vertical="center" wrapText="1"/>
    </xf>
    <xf numFmtId="0" fontId="21" fillId="23" borderId="1" xfId="0" applyFont="1" applyFill="1" applyBorder="1" applyAlignment="1">
      <alignment horizontal="center" vertical="center" wrapText="1"/>
    </xf>
    <xf numFmtId="8" fontId="38" fillId="23" borderId="19" xfId="0" applyNumberFormat="1" applyFont="1" applyFill="1" applyBorder="1" applyAlignment="1">
      <alignment horizontal="distributed" vertical="center"/>
    </xf>
    <xf numFmtId="0" fontId="45" fillId="0" borderId="1" xfId="0" applyFont="1" applyBorder="1" applyAlignment="1">
      <alignment horizontal="center"/>
    </xf>
    <xf numFmtId="0" fontId="42" fillId="20" borderId="1" xfId="0" applyFont="1" applyFill="1" applyBorder="1" applyAlignment="1">
      <alignment horizontal="center" vertical="center" wrapText="1"/>
    </xf>
    <xf numFmtId="0" fontId="42" fillId="20" borderId="4" xfId="0" applyFont="1" applyFill="1" applyBorder="1" applyAlignment="1">
      <alignment horizontal="center" vertical="center" wrapText="1"/>
    </xf>
    <xf numFmtId="0" fontId="42" fillId="0" borderId="0" xfId="0" applyFont="1" applyBorder="1" applyAlignment="1">
      <alignment horizontal="center" vertical="center" wrapText="1"/>
    </xf>
    <xf numFmtId="0" fontId="38" fillId="0" borderId="17" xfId="0" applyFont="1" applyBorder="1" applyAlignment="1">
      <alignment horizontal="left" vertical="center" wrapText="1"/>
    </xf>
    <xf numFmtId="0" fontId="38" fillId="0" borderId="4" xfId="0" applyFont="1" applyBorder="1" applyAlignment="1">
      <alignment horizontal="center" vertical="center"/>
    </xf>
    <xf numFmtId="167" fontId="38" fillId="7" borderId="1" xfId="2" applyFont="1" applyFill="1" applyBorder="1" applyAlignment="1">
      <alignment vertical="center"/>
    </xf>
    <xf numFmtId="167" fontId="38" fillId="0" borderId="1" xfId="2" applyFont="1" applyBorder="1" applyAlignment="1">
      <alignment vertical="center"/>
    </xf>
    <xf numFmtId="167" fontId="38" fillId="0" borderId="0" xfId="2" applyFont="1" applyBorder="1" applyAlignment="1">
      <alignment vertical="center"/>
    </xf>
    <xf numFmtId="0" fontId="67" fillId="0" borderId="1" xfId="0" applyFont="1" applyBorder="1" applyAlignment="1">
      <alignment horizontal="left" wrapText="1"/>
    </xf>
    <xf numFmtId="44" fontId="42" fillId="0" borderId="1" xfId="0" applyNumberFormat="1" applyFont="1" applyBorder="1"/>
    <xf numFmtId="44" fontId="42" fillId="0" borderId="0" xfId="0" applyNumberFormat="1" applyFont="1" applyBorder="1"/>
    <xf numFmtId="44" fontId="42" fillId="20" borderId="1" xfId="0" applyNumberFormat="1" applyFont="1" applyFill="1" applyBorder="1" applyAlignment="1"/>
    <xf numFmtId="44" fontId="42" fillId="0" borderId="0" xfId="0" applyNumberFormat="1" applyFont="1" applyBorder="1" applyAlignment="1"/>
    <xf numFmtId="44" fontId="42" fillId="0" borderId="2" xfId="0" applyNumberFormat="1" applyFont="1" applyBorder="1" applyAlignment="1"/>
    <xf numFmtId="0" fontId="38" fillId="0" borderId="1" xfId="0" applyFont="1" applyBorder="1" applyAlignment="1">
      <alignment horizontal="left" vertical="center" wrapText="1"/>
    </xf>
    <xf numFmtId="0" fontId="69" fillId="0" borderId="2" xfId="0" applyFont="1" applyBorder="1" applyAlignment="1">
      <alignment horizontal="center"/>
    </xf>
    <xf numFmtId="44" fontId="69" fillId="0" borderId="2" xfId="0" applyNumberFormat="1" applyFont="1" applyBorder="1" applyAlignment="1"/>
    <xf numFmtId="44" fontId="69" fillId="0" borderId="0" xfId="0" applyNumberFormat="1" applyFont="1" applyBorder="1" applyAlignment="1"/>
    <xf numFmtId="0" fontId="70" fillId="0" borderId="0" xfId="0" applyFont="1"/>
    <xf numFmtId="0" fontId="71" fillId="0" borderId="0" xfId="9" applyFont="1"/>
    <xf numFmtId="0" fontId="67" fillId="0" borderId="1" xfId="0" applyFont="1" applyBorder="1" applyAlignment="1">
      <alignment horizontal="left"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71" fontId="1" fillId="7" borderId="29" xfId="8" applyFont="1" applyFill="1" applyBorder="1" applyAlignment="1">
      <alignment vertical="center" wrapText="1"/>
    </xf>
    <xf numFmtId="171" fontId="1" fillId="0" borderId="29" xfId="8" applyFont="1" applyBorder="1" applyAlignment="1">
      <alignment vertical="center" wrapText="1"/>
    </xf>
    <xf numFmtId="44" fontId="1" fillId="0" borderId="29" xfId="0" applyNumberFormat="1" applyFont="1" applyBorder="1" applyAlignment="1">
      <alignment vertical="center" wrapText="1"/>
    </xf>
    <xf numFmtId="0" fontId="1" fillId="0" borderId="42" xfId="0" applyNumberFormat="1" applyFont="1" applyBorder="1" applyAlignment="1">
      <alignment vertical="center" wrapText="1"/>
    </xf>
    <xf numFmtId="0" fontId="42" fillId="0" borderId="0" xfId="0" applyFont="1" applyAlignment="1">
      <alignment horizontal="center"/>
    </xf>
    <xf numFmtId="8" fontId="38" fillId="23" borderId="1" xfId="0" applyNumberFormat="1" applyFont="1" applyFill="1" applyBorder="1" applyAlignment="1">
      <alignment horizontal="distributed" vertical="center"/>
    </xf>
    <xf numFmtId="0" fontId="73" fillId="0" borderId="0" xfId="0" applyFont="1"/>
    <xf numFmtId="10" fontId="42" fillId="0" borderId="1" xfId="3" applyNumberFormat="1" applyFont="1" applyBorder="1" applyAlignment="1" applyProtection="1">
      <alignment horizontal="center"/>
    </xf>
    <xf numFmtId="0" fontId="49" fillId="7" borderId="1" xfId="0" applyFont="1" applyFill="1" applyBorder="1" applyAlignment="1">
      <alignment horizontal="center" vertical="center" wrapText="1"/>
    </xf>
    <xf numFmtId="0" fontId="10" fillId="0" borderId="1" xfId="0" applyFont="1" applyBorder="1" applyAlignment="1">
      <alignment horizontal="center"/>
    </xf>
    <xf numFmtId="4" fontId="49" fillId="7" borderId="1" xfId="0" applyNumberFormat="1" applyFont="1" applyFill="1" applyBorder="1" applyAlignment="1">
      <alignment horizontal="right" vertical="center" wrapText="1"/>
    </xf>
    <xf numFmtId="0" fontId="10" fillId="0" borderId="1" xfId="0" applyFont="1" applyBorder="1" applyAlignment="1">
      <alignment horizontal="center" vertical="center"/>
    </xf>
    <xf numFmtId="10" fontId="8" fillId="0" borderId="1" xfId="0" applyNumberFormat="1" applyFont="1" applyBorder="1" applyAlignment="1">
      <alignment horizontal="center" vertical="center"/>
    </xf>
    <xf numFmtId="167" fontId="44" fillId="0" borderId="1" xfId="2" applyFont="1" applyBorder="1" applyAlignment="1" applyProtection="1">
      <alignment vertical="center"/>
    </xf>
    <xf numFmtId="167" fontId="38" fillId="0" borderId="1" xfId="2" applyFont="1" applyBorder="1" applyAlignment="1" applyProtection="1">
      <alignment horizontal="center" vertical="center"/>
    </xf>
    <xf numFmtId="10" fontId="38" fillId="0" borderId="1" xfId="0" applyNumberFormat="1" applyFont="1" applyBorder="1" applyAlignment="1">
      <alignment horizontal="center" vertical="center"/>
    </xf>
    <xf numFmtId="167" fontId="44" fillId="0" borderId="1" xfId="2" applyFont="1" applyBorder="1" applyAlignment="1" applyProtection="1">
      <alignment horizontal="center" vertical="center"/>
    </xf>
    <xf numFmtId="0" fontId="48" fillId="0" borderId="13" xfId="0" applyFont="1" applyBorder="1" applyAlignment="1">
      <alignment horizontal="center" vertical="center"/>
    </xf>
    <xf numFmtId="0" fontId="48" fillId="22" borderId="4" xfId="0" applyFont="1" applyFill="1" applyBorder="1" applyAlignment="1">
      <alignment horizontal="center" vertical="center"/>
    </xf>
    <xf numFmtId="0" fontId="48" fillId="22" borderId="19" xfId="0" applyFont="1" applyFill="1" applyBorder="1" applyAlignment="1">
      <alignment horizontal="center" vertical="center"/>
    </xf>
    <xf numFmtId="0" fontId="48" fillId="22" borderId="17" xfId="0" applyFont="1" applyFill="1" applyBorder="1" applyAlignment="1">
      <alignment horizontal="center" vertical="center"/>
    </xf>
    <xf numFmtId="0" fontId="48" fillId="22" borderId="2" xfId="0" applyFont="1" applyFill="1" applyBorder="1" applyAlignment="1">
      <alignment horizontal="center" vertical="center"/>
    </xf>
    <xf numFmtId="0" fontId="48" fillId="22" borderId="13" xfId="0" applyFont="1" applyFill="1" applyBorder="1" applyAlignment="1">
      <alignment horizontal="center" vertical="center"/>
    </xf>
    <xf numFmtId="0" fontId="48" fillId="22" borderId="10" xfId="0" applyFont="1" applyFill="1" applyBorder="1" applyAlignment="1">
      <alignment horizontal="center" vertical="center" wrapText="1"/>
    </xf>
    <xf numFmtId="0" fontId="48" fillId="22" borderId="14" xfId="0" applyFont="1" applyFill="1" applyBorder="1" applyAlignment="1">
      <alignment horizontal="center" vertical="center" wrapText="1"/>
    </xf>
    <xf numFmtId="0" fontId="10" fillId="0" borderId="1" xfId="0" applyFont="1" applyBorder="1" applyAlignment="1">
      <alignment horizontal="center"/>
    </xf>
    <xf numFmtId="0" fontId="8" fillId="0" borderId="1" xfId="0" applyFont="1" applyBorder="1" applyAlignment="1">
      <alignment horizontal="left"/>
    </xf>
    <xf numFmtId="0" fontId="50" fillId="0" borderId="0" xfId="0" applyFont="1" applyBorder="1" applyAlignment="1">
      <alignment horizontal="left"/>
    </xf>
    <xf numFmtId="0" fontId="50" fillId="0" borderId="13" xfId="0" applyFont="1" applyBorder="1" applyAlignment="1">
      <alignment horizontal="left"/>
    </xf>
    <xf numFmtId="0" fontId="11" fillId="18" borderId="1" xfId="0" applyFont="1" applyFill="1" applyBorder="1" applyAlignment="1">
      <alignment horizontal="center"/>
    </xf>
    <xf numFmtId="0" fontId="8" fillId="0" borderId="0" xfId="0" applyFont="1" applyBorder="1" applyAlignment="1">
      <alignment horizontal="left"/>
    </xf>
    <xf numFmtId="0" fontId="50" fillId="0" borderId="2" xfId="0" applyFont="1" applyBorder="1" applyAlignment="1">
      <alignment horizontal="left"/>
    </xf>
    <xf numFmtId="0" fontId="10" fillId="0" borderId="1" xfId="0" applyFont="1" applyBorder="1" applyAlignment="1">
      <alignment horizontal="left"/>
    </xf>
    <xf numFmtId="0" fontId="8" fillId="0" borderId="1" xfId="0" applyFont="1" applyBorder="1"/>
    <xf numFmtId="0" fontId="10" fillId="3" borderId="8" xfId="0" applyFont="1" applyFill="1" applyBorder="1" applyAlignment="1">
      <alignment horizontal="center"/>
    </xf>
    <xf numFmtId="0" fontId="10" fillId="5" borderId="1" xfId="0" applyFont="1" applyFill="1" applyBorder="1" applyAlignment="1">
      <alignment horizontal="center"/>
    </xf>
    <xf numFmtId="0" fontId="8" fillId="7" borderId="1" xfId="0" applyFont="1" applyFill="1" applyBorder="1" applyAlignment="1">
      <alignment horizontal="left"/>
    </xf>
    <xf numFmtId="0" fontId="10" fillId="3" borderId="7" xfId="0" applyFont="1" applyFill="1" applyBorder="1" applyAlignment="1">
      <alignment horizontal="center"/>
    </xf>
    <xf numFmtId="0" fontId="10" fillId="3" borderId="6" xfId="0" applyFont="1" applyFill="1" applyBorder="1" applyAlignment="1">
      <alignment horizontal="center"/>
    </xf>
    <xf numFmtId="0" fontId="10" fillId="0" borderId="4" xfId="0" applyFont="1" applyBorder="1" applyAlignment="1">
      <alignment horizontal="center"/>
    </xf>
    <xf numFmtId="0" fontId="8" fillId="0" borderId="1" xfId="0" applyFont="1" applyBorder="1" applyAlignment="1">
      <alignment horizontal="left" wrapText="1"/>
    </xf>
    <xf numFmtId="0" fontId="14" fillId="0" borderId="0" xfId="0" applyFont="1" applyBorder="1" applyAlignment="1">
      <alignment horizontal="center" wrapText="1"/>
    </xf>
    <xf numFmtId="0" fontId="14" fillId="0" borderId="0" xfId="0" applyFont="1" applyBorder="1" applyAlignment="1">
      <alignment horizont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0" fillId="3" borderId="5" xfId="0" applyFont="1" applyFill="1" applyBorder="1" applyAlignment="1">
      <alignment horizontal="center"/>
    </xf>
    <xf numFmtId="0" fontId="12" fillId="0" borderId="2" xfId="0" applyFont="1" applyBorder="1" applyAlignment="1">
      <alignment horizontal="left" vertical="center" wrapText="1"/>
    </xf>
    <xf numFmtId="0" fontId="12" fillId="0" borderId="0" xfId="0" applyFont="1" applyBorder="1" applyAlignment="1">
      <alignment horizontal="left" vertical="center" wrapText="1"/>
    </xf>
    <xf numFmtId="0" fontId="10" fillId="3" borderId="4" xfId="0" applyFont="1" applyFill="1" applyBorder="1" applyAlignment="1">
      <alignment horizontal="center"/>
    </xf>
    <xf numFmtId="0" fontId="10" fillId="4" borderId="1" xfId="0" applyFont="1" applyFill="1" applyBorder="1" applyAlignment="1">
      <alignment horizontal="center"/>
    </xf>
    <xf numFmtId="0" fontId="8" fillId="0" borderId="4" xfId="0" applyFont="1" applyBorder="1" applyAlignment="1">
      <alignment horizontal="left"/>
    </xf>
    <xf numFmtId="0" fontId="8" fillId="0" borderId="17" xfId="0" applyFont="1" applyBorder="1" applyAlignment="1">
      <alignment horizontal="left"/>
    </xf>
    <xf numFmtId="0" fontId="8" fillId="0" borderId="19" xfId="0" applyFont="1" applyBorder="1" applyAlignment="1">
      <alignment horizontal="left"/>
    </xf>
    <xf numFmtId="0" fontId="8" fillId="0" borderId="1" xfId="0" applyFont="1" applyFill="1" applyBorder="1" applyAlignment="1">
      <alignment horizontal="left" vertical="center"/>
    </xf>
    <xf numFmtId="167" fontId="44" fillId="0" borderId="1" xfId="2" applyFont="1" applyFill="1" applyBorder="1"/>
    <xf numFmtId="0" fontId="10" fillId="3" borderId="3" xfId="0" applyFont="1" applyFill="1" applyBorder="1" applyAlignment="1">
      <alignment horizontal="center"/>
    </xf>
    <xf numFmtId="0" fontId="10" fillId="0" borderId="22" xfId="0" applyFont="1" applyFill="1" applyBorder="1" applyAlignment="1">
      <alignment horizontal="center"/>
    </xf>
    <xf numFmtId="0" fontId="10" fillId="0" borderId="20" xfId="0" applyFont="1" applyFill="1" applyBorder="1" applyAlignment="1">
      <alignment horizontal="center"/>
    </xf>
    <xf numFmtId="0" fontId="8" fillId="0" borderId="4" xfId="0" applyFont="1" applyBorder="1" applyAlignment="1">
      <alignment horizontal="center"/>
    </xf>
    <xf numFmtId="0" fontId="8" fillId="0" borderId="17" xfId="0" applyFont="1" applyBorder="1" applyAlignment="1">
      <alignment horizontal="center"/>
    </xf>
    <xf numFmtId="0" fontId="8" fillId="0" borderId="19" xfId="0" applyFont="1" applyBorder="1" applyAlignment="1">
      <alignment horizontal="center"/>
    </xf>
    <xf numFmtId="0" fontId="12" fillId="0" borderId="2" xfId="0" applyFont="1" applyBorder="1" applyAlignment="1">
      <alignment horizontal="left"/>
    </xf>
    <xf numFmtId="0" fontId="44" fillId="0" borderId="4" xfId="0" applyFont="1" applyFill="1" applyBorder="1" applyAlignment="1">
      <alignment horizontal="left"/>
    </xf>
    <xf numFmtId="0" fontId="44" fillId="0" borderId="17" xfId="0" applyFont="1" applyFill="1" applyBorder="1" applyAlignment="1">
      <alignment horizontal="left"/>
    </xf>
    <xf numFmtId="0" fontId="44" fillId="0" borderId="19" xfId="0" applyFont="1" applyFill="1" applyBorder="1" applyAlignment="1">
      <alignment horizontal="left"/>
    </xf>
    <xf numFmtId="0" fontId="57" fillId="0" borderId="1" xfId="0" applyFont="1" applyBorder="1" applyAlignment="1">
      <alignment horizontal="left"/>
    </xf>
    <xf numFmtId="0" fontId="8" fillId="0" borderId="1" xfId="0" applyFont="1" applyBorder="1" applyAlignment="1">
      <alignment horizontal="center" wrapText="1"/>
    </xf>
    <xf numFmtId="164" fontId="8" fillId="0" borderId="1" xfId="0" applyNumberFormat="1" applyFont="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xf>
    <xf numFmtId="165" fontId="44" fillId="8" borderId="1" xfId="0" applyNumberFormat="1" applyFont="1" applyFill="1" applyBorder="1" applyAlignment="1">
      <alignment horizontal="center"/>
    </xf>
    <xf numFmtId="0" fontId="10" fillId="2" borderId="1" xfId="0" applyFont="1" applyFill="1" applyBorder="1" applyAlignment="1">
      <alignment horizontal="center"/>
    </xf>
    <xf numFmtId="0" fontId="2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49" fontId="14" fillId="0" borderId="1" xfId="0" applyNumberFormat="1" applyFont="1" applyBorder="1" applyAlignment="1">
      <alignment horizontal="center"/>
    </xf>
    <xf numFmtId="0" fontId="10" fillId="0" borderId="0" xfId="0" applyFont="1" applyBorder="1" applyAlignment="1">
      <alignment horizontal="center" vertical="center"/>
    </xf>
    <xf numFmtId="0" fontId="27" fillId="0" borderId="0" xfId="0" applyFont="1" applyBorder="1" applyAlignment="1">
      <alignment horizontal="center"/>
    </xf>
    <xf numFmtId="49" fontId="8" fillId="8" borderId="1" xfId="0" applyNumberFormat="1" applyFont="1" applyFill="1" applyBorder="1" applyAlignment="1">
      <alignment horizontal="center"/>
    </xf>
    <xf numFmtId="0" fontId="28" fillId="13" borderId="4" xfId="7" applyFont="1" applyFill="1" applyBorder="1" applyAlignment="1">
      <alignment horizontal="center" vertical="center"/>
    </xf>
    <xf numFmtId="0" fontId="28" fillId="13" borderId="17" xfId="7" applyFont="1" applyFill="1" applyBorder="1" applyAlignment="1">
      <alignment horizontal="center" vertical="center"/>
    </xf>
    <xf numFmtId="0" fontId="28" fillId="13" borderId="19" xfId="7" applyFont="1" applyFill="1" applyBorder="1" applyAlignment="1">
      <alignment horizontal="center" vertical="center"/>
    </xf>
    <xf numFmtId="165" fontId="8" fillId="8" borderId="1" xfId="0" applyNumberFormat="1" applyFont="1" applyFill="1" applyBorder="1" applyAlignment="1">
      <alignment horizontal="center"/>
    </xf>
    <xf numFmtId="0" fontId="8" fillId="0" borderId="1" xfId="0" applyFont="1" applyBorder="1" applyAlignment="1">
      <alignment horizontal="left" vertical="center"/>
    </xf>
    <xf numFmtId="167" fontId="38" fillId="0" borderId="1" xfId="2" applyFont="1" applyBorder="1"/>
    <xf numFmtId="0" fontId="18" fillId="0" borderId="0" xfId="0" applyFont="1" applyBorder="1" applyAlignment="1">
      <alignment horizontal="left"/>
    </xf>
    <xf numFmtId="0" fontId="18" fillId="0" borderId="13" xfId="0" applyFont="1" applyBorder="1" applyAlignment="1">
      <alignment horizontal="left"/>
    </xf>
    <xf numFmtId="0" fontId="40" fillId="19" borderId="1" xfId="0" applyFont="1" applyFill="1" applyBorder="1" applyAlignment="1">
      <alignment horizontal="center"/>
    </xf>
    <xf numFmtId="0" fontId="18" fillId="0" borderId="2" xfId="0" applyFont="1" applyBorder="1" applyAlignment="1">
      <alignment horizontal="left"/>
    </xf>
    <xf numFmtId="0" fontId="45" fillId="0" borderId="0" xfId="0" applyFont="1" applyBorder="1" applyAlignment="1">
      <alignment horizontal="center"/>
    </xf>
    <xf numFmtId="0" fontId="38" fillId="0" borderId="1" xfId="0" applyFont="1" applyBorder="1"/>
    <xf numFmtId="0" fontId="38" fillId="0" borderId="1" xfId="0" applyFont="1" applyBorder="1" applyAlignment="1">
      <alignment horizontal="left"/>
    </xf>
    <xf numFmtId="0" fontId="38" fillId="0" borderId="1" xfId="0" applyFont="1" applyBorder="1" applyAlignment="1">
      <alignment horizontal="center"/>
    </xf>
    <xf numFmtId="0" fontId="27" fillId="0" borderId="1" xfId="0" applyFont="1" applyBorder="1" applyAlignment="1">
      <alignment horizontal="center" wrapText="1"/>
    </xf>
    <xf numFmtId="0" fontId="38" fillId="0" borderId="1" xfId="0" applyFont="1" applyBorder="1" applyAlignment="1">
      <alignment horizontal="center" vertical="center"/>
    </xf>
    <xf numFmtId="49" fontId="38" fillId="8" borderId="1" xfId="0" applyNumberFormat="1" applyFont="1" applyFill="1" applyBorder="1" applyAlignment="1">
      <alignment horizontal="center"/>
    </xf>
    <xf numFmtId="0" fontId="38" fillId="0" borderId="1" xfId="0" applyFont="1" applyBorder="1" applyAlignment="1">
      <alignment horizontal="center" wrapText="1"/>
    </xf>
    <xf numFmtId="164" fontId="38" fillId="0" borderId="1" xfId="0" applyNumberFormat="1" applyFont="1" applyBorder="1" applyAlignment="1">
      <alignment horizontal="center"/>
    </xf>
    <xf numFmtId="165" fontId="38" fillId="8" borderId="1" xfId="0" applyNumberFormat="1" applyFont="1" applyFill="1" applyBorder="1" applyAlignment="1">
      <alignment horizontal="center"/>
    </xf>
    <xf numFmtId="0" fontId="72" fillId="0" borderId="4" xfId="0" applyFont="1" applyBorder="1" applyAlignment="1">
      <alignment horizontal="left"/>
    </xf>
    <xf numFmtId="0" fontId="72" fillId="0" borderId="17" xfId="0" applyFont="1" applyBorder="1" applyAlignment="1">
      <alignment horizontal="left"/>
    </xf>
    <xf numFmtId="0" fontId="72" fillId="0" borderId="19" xfId="0" applyFont="1" applyBorder="1" applyAlignment="1">
      <alignment horizontal="left"/>
    </xf>
    <xf numFmtId="0" fontId="38" fillId="0" borderId="4" xfId="0" applyFont="1" applyBorder="1" applyAlignment="1">
      <alignment horizontal="left"/>
    </xf>
    <xf numFmtId="0" fontId="38" fillId="0" borderId="17" xfId="0" applyFont="1" applyBorder="1" applyAlignment="1">
      <alignment horizontal="left"/>
    </xf>
    <xf numFmtId="0" fontId="38" fillId="0" borderId="19" xfId="0" applyFont="1" applyBorder="1" applyAlignment="1">
      <alignment horizontal="left"/>
    </xf>
    <xf numFmtId="0" fontId="42" fillId="0" borderId="1" xfId="0" applyFont="1" applyBorder="1" applyAlignment="1">
      <alignment horizontal="center"/>
    </xf>
    <xf numFmtId="0" fontId="56" fillId="0" borderId="1" xfId="0" applyFont="1" applyBorder="1" applyAlignment="1">
      <alignment horizontal="left"/>
    </xf>
    <xf numFmtId="0" fontId="38" fillId="0" borderId="1" xfId="0" applyFont="1" applyBorder="1" applyAlignment="1">
      <alignment horizontal="left" vertical="center"/>
    </xf>
    <xf numFmtId="0" fontId="10" fillId="0" borderId="4" xfId="0" applyFont="1" applyBorder="1" applyAlignment="1">
      <alignment horizontal="left"/>
    </xf>
    <xf numFmtId="0" fontId="10" fillId="0" borderId="17" xfId="0" applyFont="1" applyBorder="1" applyAlignment="1">
      <alignment horizontal="left"/>
    </xf>
    <xf numFmtId="0" fontId="10" fillId="0" borderId="19" xfId="0" applyFont="1" applyBorder="1" applyAlignment="1">
      <alignment horizontal="left"/>
    </xf>
    <xf numFmtId="0" fontId="42" fillId="0" borderId="4" xfId="0" applyFont="1" applyBorder="1" applyAlignment="1">
      <alignment horizontal="left"/>
    </xf>
    <xf numFmtId="0" fontId="42" fillId="0" borderId="17" xfId="0" applyFont="1" applyBorder="1" applyAlignment="1">
      <alignment horizontal="left"/>
    </xf>
    <xf numFmtId="0" fontId="42" fillId="0" borderId="19" xfId="0" applyFont="1" applyBorder="1" applyAlignment="1">
      <alignment horizontal="left"/>
    </xf>
    <xf numFmtId="0" fontId="8" fillId="0" borderId="1" xfId="0" applyFont="1" applyBorder="1" applyAlignment="1">
      <alignment horizontal="left" vertical="center" wrapText="1"/>
    </xf>
    <xf numFmtId="0" fontId="38" fillId="7" borderId="1" xfId="0" applyFont="1" applyFill="1" applyBorder="1" applyAlignment="1">
      <alignment horizontal="left"/>
    </xf>
    <xf numFmtId="0" fontId="43" fillId="0" borderId="0" xfId="0" applyFont="1" applyBorder="1" applyAlignment="1">
      <alignment horizontal="left"/>
    </xf>
    <xf numFmtId="0" fontId="43" fillId="0" borderId="13" xfId="0" applyFont="1" applyBorder="1" applyAlignment="1">
      <alignment horizontal="left"/>
    </xf>
    <xf numFmtId="0" fontId="38" fillId="0" borderId="0" xfId="0" applyFont="1" applyBorder="1" applyAlignment="1">
      <alignment horizontal="left"/>
    </xf>
    <xf numFmtId="0" fontId="43" fillId="0" borderId="2" xfId="0" applyFont="1" applyBorder="1" applyAlignment="1">
      <alignment horizontal="left"/>
    </xf>
    <xf numFmtId="0" fontId="42" fillId="0" borderId="1" xfId="0" applyFont="1" applyBorder="1" applyAlignment="1">
      <alignment horizontal="left"/>
    </xf>
    <xf numFmtId="49" fontId="8" fillId="0" borderId="1" xfId="0" applyNumberFormat="1" applyFont="1" applyBorder="1" applyAlignment="1">
      <alignment horizontal="center"/>
    </xf>
    <xf numFmtId="0" fontId="57" fillId="0" borderId="4" xfId="0" applyFont="1" applyBorder="1" applyAlignment="1">
      <alignment horizontal="left"/>
    </xf>
    <xf numFmtId="0" fontId="57" fillId="0" borderId="17" xfId="0" applyFont="1" applyBorder="1" applyAlignment="1">
      <alignment horizontal="left"/>
    </xf>
    <xf numFmtId="0" fontId="57" fillId="0" borderId="19" xfId="0" applyFont="1" applyBorder="1" applyAlignment="1">
      <alignment horizontal="left"/>
    </xf>
    <xf numFmtId="167" fontId="44" fillId="0" borderId="1" xfId="2" applyFont="1" applyBorder="1"/>
    <xf numFmtId="0" fontId="27" fillId="0" borderId="4" xfId="0" applyFont="1" applyBorder="1" applyAlignment="1">
      <alignment horizontal="left"/>
    </xf>
    <xf numFmtId="0" fontId="27" fillId="0" borderId="17" xfId="0" applyFont="1" applyBorder="1" applyAlignment="1">
      <alignment horizontal="left"/>
    </xf>
    <xf numFmtId="0" fontId="27" fillId="0" borderId="19" xfId="0" applyFont="1" applyBorder="1" applyAlignment="1">
      <alignment horizontal="left"/>
    </xf>
    <xf numFmtId="49" fontId="14" fillId="8" borderId="1" xfId="0" applyNumberFormat="1" applyFont="1" applyFill="1" applyBorder="1" applyAlignment="1">
      <alignment horizontal="center"/>
    </xf>
    <xf numFmtId="0" fontId="44" fillId="0" borderId="1" xfId="0" applyFont="1" applyBorder="1" applyAlignment="1">
      <alignment horizontal="center" vertical="center" wrapText="1"/>
    </xf>
    <xf numFmtId="0" fontId="38" fillId="0" borderId="4" xfId="0" applyFont="1" applyBorder="1" applyAlignment="1">
      <alignment horizontal="left" vertical="center"/>
    </xf>
    <xf numFmtId="0" fontId="38" fillId="0" borderId="19" xfId="0" applyFont="1" applyBorder="1" applyAlignment="1">
      <alignment horizontal="left" vertical="center"/>
    </xf>
    <xf numFmtId="0" fontId="22" fillId="20" borderId="4" xfId="0" applyFont="1" applyFill="1" applyBorder="1" applyAlignment="1">
      <alignment horizontal="center" vertical="center" wrapText="1"/>
    </xf>
    <xf numFmtId="0" fontId="22" fillId="20" borderId="17" xfId="0" applyFont="1" applyFill="1" applyBorder="1" applyAlignment="1">
      <alignment horizontal="center" vertical="center" wrapText="1"/>
    </xf>
    <xf numFmtId="0" fontId="22" fillId="20" borderId="19" xfId="0" applyFont="1" applyFill="1" applyBorder="1" applyAlignment="1">
      <alignment horizontal="center" vertical="center" wrapText="1"/>
    </xf>
    <xf numFmtId="0" fontId="38" fillId="0" borderId="17" xfId="0" applyFont="1" applyBorder="1" applyAlignment="1">
      <alignment horizontal="left" vertical="center"/>
    </xf>
    <xf numFmtId="0" fontId="21" fillId="20" borderId="9" xfId="0" applyFont="1" applyFill="1" applyBorder="1" applyAlignment="1">
      <alignment horizontal="center" vertical="center" wrapText="1"/>
    </xf>
    <xf numFmtId="0" fontId="21" fillId="20" borderId="10" xfId="0" applyFont="1" applyFill="1" applyBorder="1" applyAlignment="1">
      <alignment horizontal="center" vertical="center" wrapText="1"/>
    </xf>
    <xf numFmtId="0" fontId="21" fillId="20" borderId="22" xfId="0" applyFont="1" applyFill="1" applyBorder="1" applyAlignment="1">
      <alignment horizontal="center" vertical="center" wrapText="1"/>
    </xf>
    <xf numFmtId="0" fontId="22" fillId="6" borderId="1" xfId="0" applyFont="1" applyFill="1" applyBorder="1" applyAlignment="1">
      <alignment horizontal="center" vertical="center"/>
    </xf>
    <xf numFmtId="0" fontId="21" fillId="6" borderId="1" xfId="0" applyFont="1" applyFill="1" applyBorder="1" applyAlignment="1">
      <alignment horizontal="left" vertical="center"/>
    </xf>
    <xf numFmtId="0" fontId="35" fillId="0" borderId="21"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7" fillId="0" borderId="11" xfId="0" applyFont="1" applyBorder="1" applyAlignment="1">
      <alignment horizontal="center"/>
    </xf>
    <xf numFmtId="0" fontId="37" fillId="0" borderId="0" xfId="0" applyFont="1" applyAlignment="1">
      <alignment horizontal="center"/>
    </xf>
    <xf numFmtId="0" fontId="31" fillId="14" borderId="23" xfId="0" applyFont="1" applyFill="1" applyBorder="1" applyAlignment="1">
      <alignment horizontal="center" vertical="center" wrapText="1"/>
    </xf>
    <xf numFmtId="0" fontId="31" fillId="14" borderId="24" xfId="0" applyFont="1" applyFill="1" applyBorder="1" applyAlignment="1">
      <alignment horizontal="center" vertical="center" wrapText="1"/>
    </xf>
    <xf numFmtId="0" fontId="31" fillId="14" borderId="25" xfId="0" applyFont="1" applyFill="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9" fillId="0" borderId="15" xfId="0" applyFont="1" applyBorder="1" applyAlignment="1">
      <alignment horizontal="center"/>
    </xf>
    <xf numFmtId="10" fontId="26" fillId="0" borderId="15" xfId="3" applyNumberFormat="1" applyFont="1" applyBorder="1" applyAlignment="1">
      <alignment horizontal="center"/>
    </xf>
    <xf numFmtId="10" fontId="26" fillId="15" borderId="15" xfId="3" applyNumberFormat="1" applyFont="1" applyFill="1"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1" xfId="0" applyFill="1" applyBorder="1" applyAlignment="1">
      <alignment horizontal="center"/>
    </xf>
    <xf numFmtId="0" fontId="0" fillId="0" borderId="4" xfId="0" applyFill="1" applyBorder="1" applyAlignment="1">
      <alignment horizontal="center"/>
    </xf>
    <xf numFmtId="0" fontId="0" fillId="0" borderId="17" xfId="0" applyFill="1" applyBorder="1" applyAlignment="1">
      <alignment horizontal="center"/>
    </xf>
    <xf numFmtId="0" fontId="0" fillId="0" borderId="19" xfId="0" applyFill="1" applyBorder="1" applyAlignment="1">
      <alignment horizontal="center"/>
    </xf>
    <xf numFmtId="0" fontId="25" fillId="9" borderId="15" xfId="0" applyFont="1" applyFill="1" applyBorder="1" applyAlignment="1">
      <alignment horizontal="center"/>
    </xf>
    <xf numFmtId="0" fontId="26" fillId="0" borderId="15" xfId="0" applyFont="1" applyBorder="1" applyAlignment="1">
      <alignment horizontal="center"/>
    </xf>
    <xf numFmtId="44" fontId="26" fillId="0" borderId="15" xfId="0" applyNumberFormat="1" applyFont="1" applyBorder="1" applyAlignment="1">
      <alignment horizontal="center"/>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 xfId="0" applyFont="1" applyBorder="1" applyAlignment="1">
      <alignment horizontal="center"/>
    </xf>
    <xf numFmtId="0" fontId="21" fillId="0" borderId="17" xfId="0" applyFont="1" applyBorder="1" applyAlignment="1">
      <alignment horizontal="center"/>
    </xf>
    <xf numFmtId="0" fontId="21" fillId="0" borderId="19" xfId="0" applyFont="1" applyBorder="1" applyAlignment="1">
      <alignment horizontal="center"/>
    </xf>
    <xf numFmtId="0" fontId="21" fillId="16" borderId="33" xfId="0" applyFont="1" applyFill="1" applyBorder="1" applyAlignment="1">
      <alignment horizontal="center" vertical="center"/>
    </xf>
    <xf numFmtId="0" fontId="21" fillId="16" borderId="34" xfId="0" applyFont="1" applyFill="1" applyBorder="1" applyAlignment="1">
      <alignment horizontal="center" vertical="center"/>
    </xf>
    <xf numFmtId="0" fontId="21" fillId="16" borderId="35" xfId="0" applyFont="1" applyFill="1" applyBorder="1" applyAlignment="1">
      <alignment horizontal="center" vertical="center"/>
    </xf>
    <xf numFmtId="0" fontId="21" fillId="17" borderId="33" xfId="0" applyFont="1" applyFill="1" applyBorder="1" applyAlignment="1">
      <alignment horizontal="center" vertical="center"/>
    </xf>
    <xf numFmtId="0" fontId="21" fillId="17" borderId="34" xfId="0" applyFont="1" applyFill="1" applyBorder="1" applyAlignment="1">
      <alignment horizontal="center" vertical="center"/>
    </xf>
    <xf numFmtId="0" fontId="21" fillId="17" borderId="35" xfId="0" applyFont="1" applyFill="1" applyBorder="1" applyAlignment="1">
      <alignment horizontal="center" vertical="center"/>
    </xf>
    <xf numFmtId="0" fontId="21" fillId="0" borderId="1" xfId="0" applyFont="1" applyBorder="1" applyAlignment="1">
      <alignment horizontal="center"/>
    </xf>
    <xf numFmtId="0" fontId="21" fillId="0" borderId="4"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center" wrapText="1"/>
    </xf>
    <xf numFmtId="0" fontId="0" fillId="0" borderId="21"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21" fillId="0" borderId="9" xfId="0" applyFont="1" applyBorder="1" applyAlignment="1">
      <alignment horizontal="center" vertical="center"/>
    </xf>
    <xf numFmtId="0" fontId="21" fillId="0" borderId="2" xfId="0" applyFont="1"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21" xfId="0" applyFont="1" applyBorder="1" applyAlignment="1">
      <alignment horizontal="left" vertical="center" wrapText="1"/>
    </xf>
    <xf numFmtId="0" fontId="1" fillId="0" borderId="16" xfId="0" applyFont="1" applyBorder="1" applyAlignment="1">
      <alignment horizontal="left" vertical="center" wrapText="1"/>
    </xf>
    <xf numFmtId="0" fontId="1" fillId="0" borderId="30" xfId="0" applyFont="1" applyBorder="1" applyAlignment="1">
      <alignment horizontal="left" vertical="center" wrapText="1"/>
    </xf>
    <xf numFmtId="0" fontId="22" fillId="0" borderId="0" xfId="0" applyFont="1" applyAlignment="1">
      <alignment horizontal="center"/>
    </xf>
    <xf numFmtId="0" fontId="21" fillId="14" borderId="23" xfId="0" applyFont="1" applyFill="1" applyBorder="1" applyAlignment="1">
      <alignment horizontal="center" vertical="center" wrapText="1"/>
    </xf>
    <xf numFmtId="0" fontId="21" fillId="14" borderId="24" xfId="0" applyFont="1" applyFill="1" applyBorder="1" applyAlignment="1">
      <alignment horizontal="center" vertical="center" wrapText="1"/>
    </xf>
    <xf numFmtId="0" fontId="21" fillId="14" borderId="25" xfId="0" applyFont="1" applyFill="1" applyBorder="1" applyAlignment="1">
      <alignment horizontal="center" vertical="center" wrapText="1"/>
    </xf>
    <xf numFmtId="0" fontId="21" fillId="20" borderId="26" xfId="0" applyFont="1" applyFill="1" applyBorder="1" applyAlignment="1">
      <alignment horizontal="center" vertical="center" wrapText="1"/>
    </xf>
    <xf numFmtId="0" fontId="21" fillId="20" borderId="27" xfId="0" applyFont="1" applyFill="1" applyBorder="1" applyAlignment="1">
      <alignment horizontal="center" vertical="center" wrapText="1"/>
    </xf>
    <xf numFmtId="0" fontId="21" fillId="20" borderId="26" xfId="0" applyFont="1" applyFill="1" applyBorder="1" applyAlignment="1">
      <alignment horizontal="center" vertical="center"/>
    </xf>
    <xf numFmtId="0" fontId="21" fillId="20" borderId="27" xfId="0" applyFont="1" applyFill="1" applyBorder="1" applyAlignment="1">
      <alignment horizontal="center" vertical="center"/>
    </xf>
    <xf numFmtId="0" fontId="66" fillId="0" borderId="53" xfId="0" applyFont="1" applyBorder="1" applyAlignment="1">
      <alignment horizontal="left"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30" xfId="0" applyFont="1" applyBorder="1" applyAlignment="1">
      <alignment horizontal="left" vertical="center" wrapText="1"/>
    </xf>
    <xf numFmtId="0" fontId="66" fillId="0" borderId="0" xfId="0" applyFont="1" applyBorder="1" applyAlignment="1">
      <alignment horizontal="left" wrapText="1"/>
    </xf>
    <xf numFmtId="167" fontId="38" fillId="0" borderId="22" xfId="2" applyFont="1" applyBorder="1" applyAlignment="1">
      <alignment horizontal="center" vertical="center"/>
    </xf>
    <xf numFmtId="167" fontId="38" fillId="0" borderId="20" xfId="2" applyFont="1" applyBorder="1" applyAlignment="1">
      <alignment horizontal="center" vertical="center"/>
    </xf>
    <xf numFmtId="0" fontId="42" fillId="20" borderId="1" xfId="0" applyFont="1" applyFill="1" applyBorder="1" applyAlignment="1">
      <alignment horizontal="center" vertical="center"/>
    </xf>
    <xf numFmtId="0" fontId="42" fillId="0" borderId="1" xfId="0" applyFont="1" applyBorder="1" applyAlignment="1">
      <alignment horizontal="center" vertical="center" wrapText="1"/>
    </xf>
    <xf numFmtId="0" fontId="70" fillId="0" borderId="17" xfId="0" applyFont="1" applyBorder="1" applyAlignment="1">
      <alignment horizontal="left"/>
    </xf>
    <xf numFmtId="0" fontId="42" fillId="0" borderId="5" xfId="0" applyFont="1" applyBorder="1" applyAlignment="1">
      <alignment horizontal="center"/>
    </xf>
    <xf numFmtId="0" fontId="42" fillId="0" borderId="13" xfId="0" applyFont="1" applyBorder="1" applyAlignment="1">
      <alignment horizontal="center"/>
    </xf>
    <xf numFmtId="0" fontId="42" fillId="0" borderId="14" xfId="0" applyFont="1" applyBorder="1" applyAlignment="1">
      <alignment horizontal="center"/>
    </xf>
    <xf numFmtId="0" fontId="42" fillId="0" borderId="4" xfId="0" applyFont="1" applyBorder="1" applyAlignment="1">
      <alignment horizontal="center"/>
    </xf>
    <xf numFmtId="0" fontId="42" fillId="0" borderId="17" xfId="0" applyFont="1" applyBorder="1" applyAlignment="1">
      <alignment horizontal="center"/>
    </xf>
    <xf numFmtId="0" fontId="42" fillId="0" borderId="11"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13" xfId="0" applyFont="1" applyBorder="1" applyAlignment="1">
      <alignment horizontal="center" vertical="center" wrapText="1"/>
    </xf>
    <xf numFmtId="0" fontId="38" fillId="0" borderId="22" xfId="0" applyFont="1" applyBorder="1" applyAlignment="1">
      <alignment horizontal="center" vertical="center"/>
    </xf>
    <xf numFmtId="0" fontId="38" fillId="0" borderId="20" xfId="0" applyFont="1" applyBorder="1" applyAlignment="1">
      <alignment horizontal="center" vertical="center"/>
    </xf>
    <xf numFmtId="167" fontId="38" fillId="7" borderId="22" xfId="2" applyFont="1" applyFill="1" applyBorder="1" applyAlignment="1">
      <alignment horizontal="center" vertical="center"/>
    </xf>
    <xf numFmtId="167" fontId="38" fillId="7" borderId="20" xfId="2" applyFont="1" applyFill="1" applyBorder="1" applyAlignment="1">
      <alignment horizontal="center" vertical="center"/>
    </xf>
    <xf numFmtId="0" fontId="38" fillId="0" borderId="22" xfId="0" applyFont="1" applyBorder="1" applyAlignment="1">
      <alignment horizontal="left" vertical="center" wrapText="1"/>
    </xf>
    <xf numFmtId="0" fontId="38" fillId="0" borderId="20" xfId="0" applyFont="1" applyBorder="1" applyAlignment="1">
      <alignment horizontal="left" vertical="center" wrapText="1"/>
    </xf>
    <xf numFmtId="0" fontId="42" fillId="0" borderId="12" xfId="0" applyFont="1" applyBorder="1" applyAlignment="1">
      <alignment horizontal="center" vertical="center" wrapText="1"/>
    </xf>
    <xf numFmtId="0" fontId="42" fillId="0" borderId="14"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21" xfId="0" applyFont="1" applyBorder="1" applyAlignment="1">
      <alignment horizontal="left" vertical="center" wrapText="1"/>
    </xf>
    <xf numFmtId="0" fontId="21" fillId="0" borderId="30" xfId="0" applyFont="1" applyBorder="1" applyAlignment="1">
      <alignment horizontal="left" vertical="center" wrapText="1"/>
    </xf>
    <xf numFmtId="0" fontId="53" fillId="0" borderId="4" xfId="4" applyFont="1" applyBorder="1" applyAlignment="1">
      <alignment horizontal="left" vertical="center"/>
    </xf>
    <xf numFmtId="0" fontId="53" fillId="0" borderId="19" xfId="4" applyFont="1" applyBorder="1" applyAlignment="1">
      <alignment horizontal="left" vertical="center"/>
    </xf>
    <xf numFmtId="0" fontId="53" fillId="0" borderId="9" xfId="4" applyFont="1" applyBorder="1" applyAlignment="1">
      <alignment horizontal="left" vertical="center"/>
    </xf>
    <xf numFmtId="0" fontId="53" fillId="0" borderId="10" xfId="4" applyFont="1" applyBorder="1" applyAlignment="1">
      <alignment horizontal="left" vertical="center"/>
    </xf>
    <xf numFmtId="0" fontId="52" fillId="12" borderId="21" xfId="4" applyFont="1" applyFill="1" applyBorder="1" applyAlignment="1">
      <alignment horizontal="left" vertical="center"/>
    </xf>
    <xf numFmtId="0" fontId="52" fillId="12" borderId="16" xfId="4" applyFont="1" applyFill="1" applyBorder="1" applyAlignment="1">
      <alignment horizontal="left" vertical="center"/>
    </xf>
    <xf numFmtId="0" fontId="52" fillId="12" borderId="18" xfId="4" applyFont="1" applyFill="1" applyBorder="1" applyAlignment="1">
      <alignment horizontal="left" vertical="center"/>
    </xf>
    <xf numFmtId="0" fontId="52" fillId="11" borderId="0" xfId="4" applyFont="1" applyFill="1" applyAlignment="1">
      <alignment horizontal="center" vertical="center"/>
    </xf>
    <xf numFmtId="0" fontId="52" fillId="0" borderId="4" xfId="4" applyFont="1" applyBorder="1" applyAlignment="1">
      <alignment horizontal="center" vertical="center" wrapText="1"/>
    </xf>
    <xf numFmtId="0" fontId="52" fillId="0" borderId="19" xfId="4" applyFont="1" applyBorder="1" applyAlignment="1">
      <alignment horizontal="center" vertical="center" wrapText="1"/>
    </xf>
    <xf numFmtId="0" fontId="52" fillId="10" borderId="4" xfId="4" applyFont="1" applyFill="1" applyBorder="1" applyAlignment="1">
      <alignment horizontal="right" vertical="center"/>
    </xf>
    <xf numFmtId="0" fontId="52" fillId="10" borderId="17" xfId="4" applyFont="1" applyFill="1" applyBorder="1" applyAlignment="1">
      <alignment horizontal="right" vertical="center"/>
    </xf>
    <xf numFmtId="0" fontId="52" fillId="10" borderId="2" xfId="4" applyFont="1" applyFill="1" applyBorder="1" applyAlignment="1">
      <alignment horizontal="right" vertical="center"/>
    </xf>
    <xf numFmtId="0" fontId="52" fillId="10" borderId="0" xfId="4" applyFont="1" applyFill="1" applyAlignment="1">
      <alignment horizontal="right" vertical="center"/>
    </xf>
    <xf numFmtId="0" fontId="52" fillId="7" borderId="0" xfId="4" applyFont="1" applyFill="1" applyAlignment="1">
      <alignment horizontal="center" vertical="center"/>
    </xf>
    <xf numFmtId="0" fontId="52" fillId="0" borderId="4" xfId="4" applyFont="1" applyBorder="1" applyAlignment="1">
      <alignment horizontal="center" vertical="center"/>
    </xf>
    <xf numFmtId="0" fontId="52" fillId="0" borderId="17" xfId="4" applyFont="1" applyBorder="1" applyAlignment="1">
      <alignment horizontal="center" vertical="center"/>
    </xf>
    <xf numFmtId="0" fontId="52" fillId="0" borderId="19" xfId="4" applyFont="1" applyBorder="1" applyAlignment="1">
      <alignment horizontal="center" vertical="center"/>
    </xf>
    <xf numFmtId="0" fontId="52" fillId="0" borderId="4" xfId="4" applyFont="1" applyBorder="1" applyAlignment="1">
      <alignment horizontal="justify" vertical="center"/>
    </xf>
    <xf numFmtId="0" fontId="52" fillId="0" borderId="19" xfId="4" applyFont="1" applyBorder="1" applyAlignment="1">
      <alignment horizontal="justify" vertical="center"/>
    </xf>
    <xf numFmtId="49" fontId="53" fillId="0" borderId="4" xfId="4" applyNumberFormat="1" applyFont="1" applyBorder="1" applyAlignment="1">
      <alignment horizontal="left" vertical="center"/>
    </xf>
    <xf numFmtId="49" fontId="53" fillId="0" borderId="19" xfId="4" applyNumberFormat="1" applyFont="1" applyBorder="1" applyAlignment="1">
      <alignment horizontal="left" vertical="center"/>
    </xf>
    <xf numFmtId="49" fontId="53" fillId="0" borderId="4" xfId="4" applyNumberFormat="1" applyFont="1" applyBorder="1" applyAlignment="1">
      <alignment horizontal="left" vertical="center" wrapText="1"/>
    </xf>
    <xf numFmtId="49" fontId="53" fillId="0" borderId="19" xfId="4" applyNumberFormat="1" applyFont="1" applyBorder="1" applyAlignment="1">
      <alignment horizontal="left" vertical="center" wrapText="1"/>
    </xf>
    <xf numFmtId="49" fontId="56" fillId="0" borderId="4" xfId="4" applyNumberFormat="1" applyFont="1" applyBorder="1" applyAlignment="1">
      <alignment horizontal="left" vertical="center" wrapText="1"/>
    </xf>
    <xf numFmtId="49" fontId="56" fillId="0" borderId="19" xfId="4" applyNumberFormat="1" applyFont="1" applyBorder="1" applyAlignment="1">
      <alignment horizontal="left" vertical="center" wrapText="1"/>
    </xf>
    <xf numFmtId="0" fontId="53" fillId="0" borderId="2" xfId="4" applyFont="1" applyBorder="1" applyAlignment="1">
      <alignment horizontal="center" vertical="center"/>
    </xf>
    <xf numFmtId="0" fontId="53" fillId="0" borderId="0" xfId="4" applyFont="1" applyAlignment="1">
      <alignment horizontal="center" vertical="center"/>
    </xf>
    <xf numFmtId="0" fontId="52" fillId="0" borderId="1" xfId="4" applyFont="1" applyBorder="1" applyAlignment="1">
      <alignment horizontal="left" vertical="center" wrapText="1"/>
    </xf>
    <xf numFmtId="0" fontId="52" fillId="12" borderId="17" xfId="4" applyFont="1" applyFill="1" applyBorder="1" applyAlignment="1">
      <alignment horizontal="center" vertical="center"/>
    </xf>
    <xf numFmtId="0" fontId="52" fillId="0" borderId="0" xfId="4" applyFont="1" applyAlignment="1">
      <alignment horizontal="center" vertical="center"/>
    </xf>
    <xf numFmtId="0" fontId="52" fillId="10" borderId="0" xfId="4" applyFont="1" applyFill="1" applyAlignment="1">
      <alignment horizontal="center" vertical="center"/>
    </xf>
  </cellXfs>
  <cellStyles count="86">
    <cellStyle name="Euro" xfId="33"/>
    <cellStyle name="Hiperlink" xfId="9" builtinId="8"/>
    <cellStyle name="Hiperlink 2" xfId="65"/>
    <cellStyle name="Moeda" xfId="2" builtinId="4"/>
    <cellStyle name="Moeda 10" xfId="17"/>
    <cellStyle name="Moeda 2" xfId="18"/>
    <cellStyle name="Moeda 2 2" xfId="8"/>
    <cellStyle name="Moeda 2 3" xfId="59"/>
    <cellStyle name="Moeda 2 4" xfId="21"/>
    <cellStyle name="Moeda 3" xfId="34"/>
    <cellStyle name="Moeda 3 2" xfId="26"/>
    <cellStyle name="Moeda 3 2 2" xfId="71"/>
    <cellStyle name="Moeda 3 3" xfId="61"/>
    <cellStyle name="Moeda 3 4" xfId="73"/>
    <cellStyle name="Moeda 4" xfId="14"/>
    <cellStyle name="Moeda 4 2" xfId="57"/>
    <cellStyle name="Moeda 4 3" xfId="35"/>
    <cellStyle name="Moeda 5" xfId="36"/>
    <cellStyle name="Moeda 6" xfId="37"/>
    <cellStyle name="Moeda 7" xfId="20"/>
    <cellStyle name="Moeda 8" xfId="60"/>
    <cellStyle name="Moeda 8 2" xfId="84"/>
    <cellStyle name="Moeda 9" xfId="68"/>
    <cellStyle name="Normal" xfId="0" builtinId="0"/>
    <cellStyle name="Normal 10" xfId="62"/>
    <cellStyle name="Normal 11" xfId="10"/>
    <cellStyle name="Normal 12" xfId="85"/>
    <cellStyle name="Normal 2" xfId="25"/>
    <cellStyle name="Normal 2 2" xfId="16"/>
    <cellStyle name="Normal 2 2 2" xfId="4"/>
    <cellStyle name="Normal 3" xfId="38"/>
    <cellStyle name="Normal 3 2" xfId="32"/>
    <cellStyle name="Normal 4" xfId="39"/>
    <cellStyle name="Normal 4 2" xfId="7"/>
    <cellStyle name="Normal 5" xfId="5"/>
    <cellStyle name="Normal 6" xfId="40"/>
    <cellStyle name="Normal 7" xfId="41"/>
    <cellStyle name="Normal 8" xfId="29"/>
    <cellStyle name="Normal 9" xfId="19"/>
    <cellStyle name="Normal 9 2" xfId="69"/>
    <cellStyle name="Porcentagem" xfId="3" builtinId="5"/>
    <cellStyle name="Porcentagem 2" xfId="6"/>
    <cellStyle name="Porcentagem 2 2" xfId="27"/>
    <cellStyle name="Porcentagem 2 3" xfId="28"/>
    <cellStyle name="Porcentagem 2 4" xfId="22"/>
    <cellStyle name="Porcentagem 2 5" xfId="64"/>
    <cellStyle name="Porcentagem 3" xfId="42"/>
    <cellStyle name="Porcentagem 3 2" xfId="30"/>
    <cellStyle name="Porcentagem 4" xfId="13"/>
    <cellStyle name="Porcentagem 4 2" xfId="56"/>
    <cellStyle name="Porcentagem 4 3" xfId="43"/>
    <cellStyle name="Porcentagem 5" xfId="24"/>
    <cellStyle name="Porcentagem 6" xfId="12"/>
    <cellStyle name="Separador de milhares 2" xfId="44"/>
    <cellStyle name="Separador de milhares 2 2" xfId="74"/>
    <cellStyle name="Separador de milhares 3" xfId="15"/>
    <cellStyle name="Separador de milhares 3 2" xfId="58"/>
    <cellStyle name="Separador de milhares 3 2 2" xfId="83"/>
    <cellStyle name="Separador de milhares 3 3" xfId="45"/>
    <cellStyle name="Separador de milhares 3 3 2" xfId="75"/>
    <cellStyle name="Separador de milhares 3 4" xfId="67"/>
    <cellStyle name="Separador de milhares 4" xfId="46"/>
    <cellStyle name="Separador de milhares 4 2" xfId="76"/>
    <cellStyle name="Separador de milhares 5" xfId="47"/>
    <cellStyle name="Separador de milhares 5 2" xfId="77"/>
    <cellStyle name="Título 1 1" xfId="48"/>
    <cellStyle name="Título 1 1 1" xfId="49"/>
    <cellStyle name="Título 5" xfId="50"/>
    <cellStyle name="Vírgula" xfId="1" builtinId="3"/>
    <cellStyle name="Vírgula 10" xfId="63"/>
    <cellStyle name="Vírgula 2" xfId="51"/>
    <cellStyle name="Vírgula 2 2" xfId="31"/>
    <cellStyle name="Vírgula 2 2 2" xfId="72"/>
    <cellStyle name="Vírgula 2 3" xfId="78"/>
    <cellStyle name="Vírgula 3" xfId="52"/>
    <cellStyle name="Vírgula 3 2" xfId="79"/>
    <cellStyle name="Vírgula 4" xfId="53"/>
    <cellStyle name="Vírgula 4 2" xfId="80"/>
    <cellStyle name="Vírgula 5" xfId="54"/>
    <cellStyle name="Vírgula 5 2" xfId="81"/>
    <cellStyle name="Vírgula 6" xfId="55"/>
    <cellStyle name="Vírgula 6 2" xfId="82"/>
    <cellStyle name="Vírgula 7" xfId="23"/>
    <cellStyle name="Vírgula 7 2" xfId="70"/>
    <cellStyle name="Vírgula 8" xfId="66"/>
    <cellStyle name="Vírgula 9" xfId="1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9CDE5"/>
      <rgbColor rgb="FF808080"/>
      <rgbColor rgb="FF95B3D7"/>
      <rgbColor rgb="FF993366"/>
      <rgbColor rgb="FFF2DCDB"/>
      <rgbColor rgb="FFDCE6F2"/>
      <rgbColor rgb="FF660066"/>
      <rgbColor rgb="FFFF8B8B"/>
      <rgbColor rgb="FF0066CC"/>
      <rgbColor rgb="FFC6D9F1"/>
      <rgbColor rgb="FF000080"/>
      <rgbColor rgb="FFFF00FF"/>
      <rgbColor rgb="FFFFFF00"/>
      <rgbColor rgb="FF00FFFF"/>
      <rgbColor rgb="FF800080"/>
      <rgbColor rgb="FF800000"/>
      <rgbColor rgb="FF008080"/>
      <rgbColor rgb="FF0000FF"/>
      <rgbColor rgb="FF00CCFF"/>
      <rgbColor rgb="FFD9D9D9"/>
      <rgbColor rgb="FFD7E4BD"/>
      <rgbColor rgb="FFFFFF99"/>
      <rgbColor rgb="FFB7DEE8"/>
      <rgbColor rgb="FFD99694"/>
      <rgbColor rgb="FFB3A2C7"/>
      <rgbColor rgb="FFFCD5B5"/>
      <rgbColor rgb="FF3366FF"/>
      <rgbColor rgb="FF33CCCC"/>
      <rgbColor rgb="FF99CC00"/>
      <rgbColor rgb="FFFFC000"/>
      <rgbColor rgb="FFFF9900"/>
      <rgbColor rgb="FFFF6600"/>
      <rgbColor rgb="FF8064A2"/>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200025</xdr:colOff>
      <xdr:row>6</xdr:row>
      <xdr:rowOff>47625</xdr:rowOff>
    </xdr:from>
    <xdr:to>
      <xdr:col>4</xdr:col>
      <xdr:colOff>675216</xdr:colOff>
      <xdr:row>11</xdr:row>
      <xdr:rowOff>56091</xdr:rowOff>
    </xdr:to>
    <xdr:pic>
      <xdr:nvPicPr>
        <xdr:cNvPr id="2" name="Imagem 1" descr="Z:\REAL JG SERVIÇOS\@Licitação\ASSINATURA DIGITAL\Assinatura Flávia Macena.jpg">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1238250"/>
          <a:ext cx="1865841" cy="81809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comercial\Meus%20documentos\Licita&#231;&#245;es\04-06-23%20-%20Supremo%20Tribunal%20Federal%20-%20CV%2004-2004\Planilhas%20Propostas%20-%20STF%2004-2004%20zer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2"/>
      <sheetName val="P3"/>
      <sheetName val="P4"/>
      <sheetName val="P5"/>
      <sheetName val="Anexo I"/>
      <sheetName val="Anexo-IIb"/>
      <sheetName val="A-II"/>
      <sheetName val="A-III"/>
      <sheetName val="A-IV"/>
      <sheetName val="A-V"/>
      <sheetName val="Unif"/>
      <sheetName val="Transp"/>
      <sheetName val="Alim"/>
      <sheetName val="Anexo_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Carlos Eduardo Souza Feitosa" id="{9E379925-6148-4E33-979D-2B48025EFAE0}" userId="S::carlos.feitosa@agricultura.gov.br::8277354e-36a3-440c-9a34-d5e1ecaad4fa"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0-01-16T19:23:41.74" personId="{9E379925-6148-4E33-979D-2B48025EFAE0}" id="{2E41B8FE-80CA-4064-BBFB-A40723C6EE3A}">
    <text>Salário base 2.124,66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s://www.lojasrenner.com.br/p/tenis-masculino-em-lona/-/A-545695746-br.lr?sku=545695818&amp;gclid=EAIaIQobChMIoa6C2sb75QIVh4WRCh0ZSAqTEAkYBSABEgLN4PD_BwE" TargetMode="External"/><Relationship Id="rId7" Type="http://schemas.openxmlformats.org/officeDocument/2006/relationships/hyperlink" Target="https://www.cirurgicasaudeonline.com.br/jaleco-masculino-oxford-longo-manga-curta/p?idsku=909&amp;gclid=EAIaIQobChMIwtfQ9cj75QIVkIeRCh3jugJuEAkYAyABEgL5vvD_BwE" TargetMode="External"/><Relationship Id="rId2" Type="http://schemas.openxmlformats.org/officeDocument/2006/relationships/hyperlink" Target="https://www.lojasrenner.com.br/p/calca-jeans-reta-lisa/-/A-547682092-br.lr?sku=547682148&amp;gclid=EAIaIQobChMIsPaup8b75QIVl4aRCh32iQ_6EAkYASABEgKHLPD_BwE" TargetMode="External"/><Relationship Id="rId1" Type="http://schemas.openxmlformats.org/officeDocument/2006/relationships/hyperlink" Target="https://www.americanas.com.br/produto/45982658/calca-jeans-masculina-basica-trabalho?chave_search=acproduct&amp;cor=Azul%20Escuro&amp;tamanho=%3e" TargetMode="External"/><Relationship Id="rId6" Type="http://schemas.openxmlformats.org/officeDocument/2006/relationships/hyperlink" Target="https://www.oceanob2b.com/mascara-descartavel-tnt-elastico-prevemax-pacote-100-unidades-p1003380?tsid=109&amp;gclid=EAIaIQobChMIu87Egsj75QIVjoeRCh33cQyQEAkYBiABEgK5h_D_BwE" TargetMode="External"/><Relationship Id="rId5" Type="http://schemas.openxmlformats.org/officeDocument/2006/relationships/hyperlink" Target="https://www.drluvas.com.br/Luva-Latex-de-Procedimento-Supermax?gclid=EAIaIQobChMI_KP928f75QIVyAaRCh0Jug0iEAkYASABEgIW_vD_BwE" TargetMode="External"/><Relationship Id="rId4" Type="http://schemas.openxmlformats.org/officeDocument/2006/relationships/hyperlink" Target="https://www.rstextil.com.br/polo-bordada-direito?gclid=EAIaIQobChMI__Hl1cT75QIViAqRCh0iFQ7BEAYYAiABEgIjuPD_BwE"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11"/>
  <sheetViews>
    <sheetView view="pageBreakPreview" topLeftCell="A3" zoomScale="120" zoomScaleNormal="100" zoomScaleSheetLayoutView="120" workbookViewId="0">
      <selection activeCell="E10" sqref="E10"/>
    </sheetView>
  </sheetViews>
  <sheetFormatPr defaultRowHeight="15" x14ac:dyDescent="0.2"/>
  <cols>
    <col min="1" max="1" width="57.42578125" style="206" customWidth="1"/>
    <col min="2" max="2" width="15.42578125" style="206" customWidth="1"/>
    <col min="3" max="3" width="13.140625" style="206" customWidth="1"/>
    <col min="4" max="5" width="15.5703125" style="206" customWidth="1"/>
    <col min="6" max="6" width="14.140625" style="206" customWidth="1"/>
    <col min="7" max="8" width="17.7109375" style="206" customWidth="1"/>
    <col min="9" max="16384" width="9.140625" style="206"/>
  </cols>
  <sheetData>
    <row r="1" spans="1:8" ht="22.5" customHeight="1" x14ac:dyDescent="0.2">
      <c r="A1" s="419"/>
      <c r="B1" s="419"/>
      <c r="C1" s="419"/>
      <c r="D1" s="419"/>
      <c r="E1" s="419"/>
      <c r="F1" s="419"/>
      <c r="G1" s="419"/>
      <c r="H1" s="419"/>
    </row>
    <row r="2" spans="1:8" ht="22.5" customHeight="1" x14ac:dyDescent="0.2">
      <c r="A2" s="423" t="s">
        <v>417</v>
      </c>
      <c r="B2" s="425" t="s">
        <v>418</v>
      </c>
      <c r="C2" s="420" t="s">
        <v>421</v>
      </c>
      <c r="D2" s="421"/>
      <c r="E2" s="420" t="s">
        <v>425</v>
      </c>
      <c r="F2" s="422"/>
      <c r="G2" s="422"/>
      <c r="H2" s="422"/>
    </row>
    <row r="3" spans="1:8" ht="48.75" customHeight="1" x14ac:dyDescent="0.2">
      <c r="A3" s="424"/>
      <c r="B3" s="426"/>
      <c r="C3" s="335" t="s">
        <v>422</v>
      </c>
      <c r="D3" s="335" t="s">
        <v>427</v>
      </c>
      <c r="E3" s="335" t="s">
        <v>435</v>
      </c>
      <c r="F3" s="207" t="s">
        <v>426</v>
      </c>
      <c r="G3" s="207" t="s">
        <v>423</v>
      </c>
      <c r="H3" s="207" t="s">
        <v>424</v>
      </c>
    </row>
    <row r="4" spans="1:8" x14ac:dyDescent="0.2">
      <c r="A4" s="336" t="s">
        <v>428</v>
      </c>
      <c r="B4" s="209" t="s">
        <v>419</v>
      </c>
      <c r="C4" s="209">
        <v>16</v>
      </c>
      <c r="D4" s="209">
        <v>32</v>
      </c>
      <c r="E4" s="341">
        <v>2192.65</v>
      </c>
      <c r="F4" s="338">
        <f>' VIGILANTES DIURNO'!I144</f>
        <v>7475.02</v>
      </c>
      <c r="G4" s="338">
        <f>D4*F4</f>
        <v>239200.64000000001</v>
      </c>
      <c r="H4" s="338">
        <f t="shared" ref="H4:H7" si="0">G4*12</f>
        <v>2870407.68</v>
      </c>
    </row>
    <row r="5" spans="1:8" x14ac:dyDescent="0.2">
      <c r="A5" s="336" t="s">
        <v>429</v>
      </c>
      <c r="B5" s="209" t="s">
        <v>419</v>
      </c>
      <c r="C5" s="209">
        <v>12</v>
      </c>
      <c r="D5" s="209">
        <v>24</v>
      </c>
      <c r="E5" s="341">
        <v>2192.65</v>
      </c>
      <c r="F5" s="338">
        <f>'VIGILANTES NOTURNOS'!I143</f>
        <v>8188.36</v>
      </c>
      <c r="G5" s="338">
        <f t="shared" ref="G5:G10" si="1">D5*F5</f>
        <v>196520.63999999998</v>
      </c>
      <c r="H5" s="338">
        <f t="shared" si="0"/>
        <v>2358247.6799999997</v>
      </c>
    </row>
    <row r="6" spans="1:8" x14ac:dyDescent="0.2">
      <c r="A6" s="337" t="s">
        <v>430</v>
      </c>
      <c r="B6" s="209" t="s">
        <v>419</v>
      </c>
      <c r="C6" s="209">
        <v>1</v>
      </c>
      <c r="D6" s="209">
        <v>2</v>
      </c>
      <c r="E6" s="341">
        <v>2411.9</v>
      </c>
      <c r="F6" s="338">
        <f>'VIG.MOTORIZADO DIUR.'!I149</f>
        <v>9950.5499999999993</v>
      </c>
      <c r="G6" s="338">
        <f t="shared" si="1"/>
        <v>19901.099999999999</v>
      </c>
      <c r="H6" s="338">
        <f t="shared" si="0"/>
        <v>238813.19999999998</v>
      </c>
    </row>
    <row r="7" spans="1:8" ht="18.75" customHeight="1" x14ac:dyDescent="0.2">
      <c r="A7" s="336" t="s">
        <v>431</v>
      </c>
      <c r="B7" s="209" t="s">
        <v>419</v>
      </c>
      <c r="C7" s="209">
        <v>2</v>
      </c>
      <c r="D7" s="209">
        <v>4</v>
      </c>
      <c r="E7" s="341">
        <v>2411.9</v>
      </c>
      <c r="F7" s="338">
        <f>'VIG.MOTORIZADO NOTURNO'!I149</f>
        <v>9953.17</v>
      </c>
      <c r="G7" s="338">
        <f t="shared" si="1"/>
        <v>39812.68</v>
      </c>
      <c r="H7" s="338">
        <f t="shared" si="0"/>
        <v>477752.16000000003</v>
      </c>
    </row>
    <row r="8" spans="1:8" x14ac:dyDescent="0.2">
      <c r="A8" s="336" t="s">
        <v>432</v>
      </c>
      <c r="B8" s="410" t="s">
        <v>420</v>
      </c>
      <c r="C8" s="209">
        <v>3</v>
      </c>
      <c r="D8" s="209">
        <v>3</v>
      </c>
      <c r="E8" s="412">
        <v>2192.65</v>
      </c>
      <c r="F8" s="338">
        <f>'VIGILANTES 44 H'!I144</f>
        <v>7565.43</v>
      </c>
      <c r="G8" s="338">
        <f t="shared" si="1"/>
        <v>22696.29</v>
      </c>
      <c r="H8" s="338">
        <f t="shared" ref="H8:H10" si="2">G8*12</f>
        <v>272355.48</v>
      </c>
    </row>
    <row r="9" spans="1:8" x14ac:dyDescent="0.2">
      <c r="A9" s="336" t="s">
        <v>434</v>
      </c>
      <c r="B9" s="209" t="s">
        <v>419</v>
      </c>
      <c r="C9" s="209">
        <v>2</v>
      </c>
      <c r="D9" s="209">
        <v>4</v>
      </c>
      <c r="E9" s="341">
        <v>2630.02</v>
      </c>
      <c r="F9" s="338">
        <f>SUPERVISOR!I144</f>
        <v>8481.68</v>
      </c>
      <c r="G9" s="338">
        <f t="shared" si="1"/>
        <v>33926.720000000001</v>
      </c>
      <c r="H9" s="338">
        <f t="shared" si="2"/>
        <v>407120.64000000001</v>
      </c>
    </row>
    <row r="10" spans="1:8" x14ac:dyDescent="0.2">
      <c r="A10" s="336" t="s">
        <v>433</v>
      </c>
      <c r="B10" s="209" t="s">
        <v>419</v>
      </c>
      <c r="C10" s="209">
        <v>3</v>
      </c>
      <c r="D10" s="209">
        <v>6</v>
      </c>
      <c r="E10" s="341">
        <v>2192.65</v>
      </c>
      <c r="F10" s="338">
        <f>'VIGILANTE 12x36 SEG, A SEXTA'!I144</f>
        <v>6951.95</v>
      </c>
      <c r="G10" s="338">
        <f t="shared" si="1"/>
        <v>41711.699999999997</v>
      </c>
      <c r="H10" s="338">
        <f t="shared" si="2"/>
        <v>500540.39999999997</v>
      </c>
    </row>
    <row r="11" spans="1:8" ht="32.25" customHeight="1" x14ac:dyDescent="0.2">
      <c r="A11" s="343" t="s">
        <v>203</v>
      </c>
      <c r="B11" s="342"/>
      <c r="C11" s="210">
        <f>SUM(C4:C10)</f>
        <v>39</v>
      </c>
      <c r="D11" s="210">
        <f>SUM(D4:D10)</f>
        <v>75</v>
      </c>
      <c r="E11" s="210"/>
      <c r="F11" s="343"/>
      <c r="G11" s="339">
        <f>SUM(G4:G10)</f>
        <v>593769.7699999999</v>
      </c>
      <c r="H11" s="340">
        <f>SUM(H4:H10)</f>
        <v>7125237.2399999993</v>
      </c>
    </row>
  </sheetData>
  <mergeCells count="5">
    <mergeCell ref="A1:H1"/>
    <mergeCell ref="C2:D2"/>
    <mergeCell ref="E2:H2"/>
    <mergeCell ref="A2:A3"/>
    <mergeCell ref="B2:B3"/>
  </mergeCells>
  <pageMargins left="0.51181102362204722" right="0.51181102362204722" top="1.4566929133858268" bottom="0.86614173228346458" header="0.31496062992125984" footer="0.31496062992125984"/>
  <pageSetup paperSize="9" scale="56"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32"/>
  <sheetViews>
    <sheetView tabSelected="1" view="pageBreakPreview" topLeftCell="A19" zoomScale="130" zoomScaleNormal="100" zoomScaleSheetLayoutView="130" workbookViewId="0">
      <selection activeCell="D30" sqref="D30"/>
    </sheetView>
  </sheetViews>
  <sheetFormatPr defaultRowHeight="12.75" x14ac:dyDescent="0.2"/>
  <cols>
    <col min="1" max="1" width="40.7109375" style="32" customWidth="1"/>
    <col min="2" max="2" width="15.28515625" style="32" customWidth="1"/>
    <col min="3" max="3" width="15.140625" style="37" bestFit="1" customWidth="1"/>
    <col min="4" max="4" width="31.140625" style="37" customWidth="1"/>
    <col min="5" max="5" width="13.85546875" style="37" customWidth="1"/>
    <col min="6" max="6" width="16.28515625" style="32" customWidth="1"/>
    <col min="7" max="7" width="15.42578125" style="32" customWidth="1"/>
    <col min="8" max="16384" width="9.140625" style="32"/>
  </cols>
  <sheetData>
    <row r="1" spans="1:9" x14ac:dyDescent="0.2">
      <c r="A1" s="138"/>
      <c r="B1" s="138"/>
      <c r="C1" s="139"/>
      <c r="D1" s="139"/>
      <c r="E1" s="139"/>
      <c r="F1" s="138"/>
      <c r="G1" s="140"/>
    </row>
    <row r="2" spans="1:9" ht="24" customHeight="1" x14ac:dyDescent="0.2">
      <c r="A2" s="543" t="s">
        <v>441</v>
      </c>
      <c r="B2" s="543"/>
      <c r="C2" s="543"/>
      <c r="D2" s="543"/>
      <c r="E2" s="543"/>
      <c r="F2" s="543"/>
      <c r="G2" s="543"/>
    </row>
    <row r="3" spans="1:9" s="33" customFormat="1" ht="60" x14ac:dyDescent="0.2">
      <c r="A3" s="536" t="s">
        <v>119</v>
      </c>
      <c r="B3" s="537"/>
      <c r="C3" s="537"/>
      <c r="D3" s="538"/>
      <c r="E3" s="312" t="s">
        <v>349</v>
      </c>
      <c r="F3" s="312" t="s">
        <v>120</v>
      </c>
      <c r="G3" s="183" t="s">
        <v>117</v>
      </c>
    </row>
    <row r="4" spans="1:9" ht="23.25" customHeight="1" x14ac:dyDescent="0.2">
      <c r="A4" s="534" t="s">
        <v>121</v>
      </c>
      <c r="B4" s="539"/>
      <c r="C4" s="539"/>
      <c r="D4" s="535"/>
      <c r="E4" s="135">
        <v>5.5</v>
      </c>
      <c r="F4" s="136">
        <v>22</v>
      </c>
      <c r="G4" s="135">
        <f>E4*F4</f>
        <v>121</v>
      </c>
    </row>
    <row r="5" spans="1:9" ht="20.25" customHeight="1" x14ac:dyDescent="0.2">
      <c r="A5" s="534" t="s">
        <v>122</v>
      </c>
      <c r="B5" s="539"/>
      <c r="C5" s="539"/>
      <c r="D5" s="535"/>
      <c r="E5" s="135">
        <v>5.5</v>
      </c>
      <c r="F5" s="136">
        <v>22</v>
      </c>
      <c r="G5" s="135">
        <f>E5*F5</f>
        <v>121</v>
      </c>
    </row>
    <row r="6" spans="1:9" ht="15" x14ac:dyDescent="0.2">
      <c r="A6" s="544" t="s">
        <v>117</v>
      </c>
      <c r="B6" s="544"/>
      <c r="C6" s="544"/>
      <c r="D6" s="544"/>
      <c r="E6" s="544"/>
      <c r="F6" s="544"/>
      <c r="G6" s="34">
        <f>SUM(G4:G5)</f>
        <v>242</v>
      </c>
    </row>
    <row r="7" spans="1:9" x14ac:dyDescent="0.2">
      <c r="A7" s="534" t="s">
        <v>121</v>
      </c>
      <c r="B7" s="539"/>
      <c r="C7" s="539"/>
      <c r="D7" s="535"/>
      <c r="E7" s="135">
        <v>5.5</v>
      </c>
      <c r="F7" s="136">
        <v>15</v>
      </c>
      <c r="G7" s="135">
        <f>E7*F7</f>
        <v>82.5</v>
      </c>
    </row>
    <row r="8" spans="1:9" x14ac:dyDescent="0.2">
      <c r="A8" s="534" t="s">
        <v>122</v>
      </c>
      <c r="B8" s="539"/>
      <c r="C8" s="539"/>
      <c r="D8" s="535"/>
      <c r="E8" s="135">
        <v>5.5</v>
      </c>
      <c r="F8" s="136">
        <v>15</v>
      </c>
      <c r="G8" s="135">
        <f>E8*F8</f>
        <v>82.5</v>
      </c>
    </row>
    <row r="9" spans="1:9" ht="15" x14ac:dyDescent="0.2">
      <c r="A9" s="544" t="s">
        <v>117</v>
      </c>
      <c r="B9" s="544"/>
      <c r="C9" s="544"/>
      <c r="D9" s="544"/>
      <c r="E9" s="544"/>
      <c r="F9" s="544"/>
      <c r="G9" s="34">
        <f>SUM(G7:G8)</f>
        <v>165</v>
      </c>
    </row>
    <row r="10" spans="1:9" x14ac:dyDescent="0.2">
      <c r="A10" s="534" t="s">
        <v>121</v>
      </c>
      <c r="B10" s="539"/>
      <c r="C10" s="539"/>
      <c r="D10" s="535"/>
      <c r="E10" s="135">
        <v>5.5</v>
      </c>
      <c r="F10" s="136">
        <v>11</v>
      </c>
      <c r="G10" s="135">
        <f>E10*F10</f>
        <v>60.5</v>
      </c>
    </row>
    <row r="11" spans="1:9" s="35" customFormat="1" x14ac:dyDescent="0.2">
      <c r="A11" s="534" t="s">
        <v>122</v>
      </c>
      <c r="B11" s="539"/>
      <c r="C11" s="539"/>
      <c r="D11" s="535"/>
      <c r="E11" s="135">
        <v>5.5</v>
      </c>
      <c r="F11" s="136">
        <v>11</v>
      </c>
      <c r="G11" s="135">
        <f>E11*F11</f>
        <v>60.5</v>
      </c>
    </row>
    <row r="12" spans="1:9" ht="15" x14ac:dyDescent="0.2">
      <c r="A12" s="544" t="s">
        <v>117</v>
      </c>
      <c r="B12" s="544"/>
      <c r="C12" s="544"/>
      <c r="D12" s="544"/>
      <c r="E12" s="544"/>
      <c r="F12" s="544"/>
      <c r="G12" s="34">
        <f>SUM(G10:G11)</f>
        <v>121</v>
      </c>
      <c r="I12" s="36"/>
    </row>
    <row r="13" spans="1:9" ht="21" customHeight="1" x14ac:dyDescent="0.2">
      <c r="A13" s="307"/>
      <c r="B13" s="308"/>
      <c r="C13" s="308"/>
      <c r="D13" s="308"/>
      <c r="E13" s="308"/>
      <c r="F13" s="308"/>
      <c r="G13" s="309"/>
      <c r="I13" s="36"/>
    </row>
    <row r="14" spans="1:9" ht="45.75" customHeight="1" x14ac:dyDescent="0.2">
      <c r="A14" s="540" t="s">
        <v>411</v>
      </c>
      <c r="B14" s="541"/>
      <c r="C14" s="376" t="s">
        <v>438</v>
      </c>
      <c r="D14" s="184" t="s">
        <v>124</v>
      </c>
      <c r="E14" s="312" t="s">
        <v>439</v>
      </c>
      <c r="F14" s="184" t="s">
        <v>440</v>
      </c>
      <c r="G14" s="185" t="s">
        <v>348</v>
      </c>
      <c r="I14" s="36"/>
    </row>
    <row r="15" spans="1:9" ht="21" customHeight="1" x14ac:dyDescent="0.2">
      <c r="A15" s="534" t="s">
        <v>404</v>
      </c>
      <c r="B15" s="535"/>
      <c r="C15" s="407">
        <v>2192.65</v>
      </c>
      <c r="D15" s="135">
        <f>G9</f>
        <v>165</v>
      </c>
      <c r="E15" s="344">
        <v>0.06</v>
      </c>
      <c r="F15" s="137">
        <f t="shared" ref="F15:F21" si="0">C15*6%</f>
        <v>131.559</v>
      </c>
      <c r="G15" s="204">
        <f t="shared" ref="G15:G21" si="1">D15-F15</f>
        <v>33.441000000000003</v>
      </c>
      <c r="I15" s="36"/>
    </row>
    <row r="16" spans="1:9" ht="15" x14ac:dyDescent="0.2">
      <c r="A16" s="534" t="s">
        <v>406</v>
      </c>
      <c r="B16" s="535"/>
      <c r="C16" s="407">
        <v>2192.65</v>
      </c>
      <c r="D16" s="135">
        <f>G9</f>
        <v>165</v>
      </c>
      <c r="E16" s="344">
        <v>0.06</v>
      </c>
      <c r="F16" s="137">
        <f t="shared" si="0"/>
        <v>131.559</v>
      </c>
      <c r="G16" s="204">
        <f t="shared" si="1"/>
        <v>33.441000000000003</v>
      </c>
      <c r="I16" s="36"/>
    </row>
    <row r="17" spans="1:11" ht="15" x14ac:dyDescent="0.2">
      <c r="A17" s="534" t="s">
        <v>409</v>
      </c>
      <c r="B17" s="535"/>
      <c r="C17" s="407">
        <v>2630.02</v>
      </c>
      <c r="D17" s="135">
        <f>G9</f>
        <v>165</v>
      </c>
      <c r="E17" s="344">
        <v>0.06</v>
      </c>
      <c r="F17" s="137">
        <f t="shared" si="0"/>
        <v>157.80119999999999</v>
      </c>
      <c r="G17" s="204">
        <f t="shared" si="1"/>
        <v>7.1988000000000056</v>
      </c>
      <c r="I17" s="36"/>
    </row>
    <row r="18" spans="1:11" ht="18.75" customHeight="1" x14ac:dyDescent="0.2">
      <c r="A18" s="534" t="s">
        <v>412</v>
      </c>
      <c r="B18" s="535"/>
      <c r="C18" s="407">
        <v>2192.65</v>
      </c>
      <c r="D18" s="135">
        <f>G12</f>
        <v>121</v>
      </c>
      <c r="E18" s="344">
        <v>0.06</v>
      </c>
      <c r="F18" s="137">
        <f t="shared" si="0"/>
        <v>131.559</v>
      </c>
      <c r="G18" s="204">
        <f t="shared" si="1"/>
        <v>-10.558999999999997</v>
      </c>
    </row>
    <row r="19" spans="1:11" ht="17.25" customHeight="1" x14ac:dyDescent="0.2">
      <c r="A19" s="534" t="s">
        <v>407</v>
      </c>
      <c r="B19" s="535"/>
      <c r="C19" s="407">
        <v>2411.9</v>
      </c>
      <c r="D19" s="135">
        <f>G9</f>
        <v>165</v>
      </c>
      <c r="E19" s="344">
        <v>0.06</v>
      </c>
      <c r="F19" s="137">
        <f t="shared" si="0"/>
        <v>144.714</v>
      </c>
      <c r="G19" s="204">
        <f t="shared" si="1"/>
        <v>20.286000000000001</v>
      </c>
    </row>
    <row r="20" spans="1:11" ht="15" x14ac:dyDescent="0.2">
      <c r="A20" s="534" t="s">
        <v>408</v>
      </c>
      <c r="B20" s="535"/>
      <c r="C20" s="407">
        <v>2411.9</v>
      </c>
      <c r="D20" s="135">
        <f>G9</f>
        <v>165</v>
      </c>
      <c r="E20" s="344">
        <v>0.06</v>
      </c>
      <c r="F20" s="137">
        <f t="shared" si="0"/>
        <v>144.714</v>
      </c>
      <c r="G20" s="204">
        <f t="shared" si="1"/>
        <v>20.286000000000001</v>
      </c>
    </row>
    <row r="21" spans="1:11" ht="15" x14ac:dyDescent="0.2">
      <c r="A21" s="534" t="s">
        <v>373</v>
      </c>
      <c r="B21" s="535"/>
      <c r="C21" s="407">
        <v>2192.65</v>
      </c>
      <c r="D21" s="135">
        <f>G6</f>
        <v>242</v>
      </c>
      <c r="E21" s="344">
        <v>0.06</v>
      </c>
      <c r="F21" s="137">
        <f t="shared" si="0"/>
        <v>131.559</v>
      </c>
      <c r="G21" s="204">
        <f t="shared" si="1"/>
        <v>110.441</v>
      </c>
    </row>
    <row r="22" spans="1:11" ht="24" customHeight="1" x14ac:dyDescent="0.2">
      <c r="A22" s="543" t="s">
        <v>442</v>
      </c>
      <c r="B22" s="543"/>
      <c r="C22" s="543"/>
      <c r="D22" s="543"/>
      <c r="E22" s="543"/>
      <c r="F22" s="543"/>
      <c r="G22" s="543"/>
    </row>
    <row r="23" spans="1:11" ht="66.75" customHeight="1" x14ac:dyDescent="0.2">
      <c r="A23" s="542" t="s">
        <v>411</v>
      </c>
      <c r="B23" s="542"/>
      <c r="C23" s="376" t="s">
        <v>125</v>
      </c>
      <c r="D23" s="184" t="s">
        <v>443</v>
      </c>
      <c r="E23" s="184" t="s">
        <v>444</v>
      </c>
      <c r="F23" s="184" t="s">
        <v>120</v>
      </c>
      <c r="G23" s="184" t="s">
        <v>117</v>
      </c>
    </row>
    <row r="24" spans="1:11" ht="15" x14ac:dyDescent="0.2">
      <c r="A24" s="292" t="s">
        <v>404</v>
      </c>
      <c r="B24" s="293"/>
      <c r="C24" s="377">
        <v>37.5</v>
      </c>
      <c r="D24" s="345">
        <v>0.02</v>
      </c>
      <c r="E24" s="294">
        <f>C24-(C24*D24)</f>
        <v>36.75</v>
      </c>
      <c r="F24" s="136">
        <v>15</v>
      </c>
      <c r="G24" s="135">
        <f>E24*F24</f>
        <v>551.25</v>
      </c>
    </row>
    <row r="25" spans="1:11" ht="15" x14ac:dyDescent="0.2">
      <c r="A25" s="292" t="s">
        <v>410</v>
      </c>
      <c r="B25" s="293"/>
      <c r="C25" s="377">
        <v>37.5</v>
      </c>
      <c r="D25" s="345">
        <v>0.02</v>
      </c>
      <c r="E25" s="294">
        <f t="shared" ref="E25:E30" si="2">C25-(C25*D25)</f>
        <v>36.75</v>
      </c>
      <c r="F25" s="136">
        <v>15</v>
      </c>
      <c r="G25" s="135">
        <f t="shared" ref="G25:G30" si="3">E25*F25</f>
        <v>551.25</v>
      </c>
    </row>
    <row r="26" spans="1:11" ht="15" x14ac:dyDescent="0.2">
      <c r="A26" s="291" t="s">
        <v>409</v>
      </c>
      <c r="B26" s="290"/>
      <c r="C26" s="377">
        <v>37.5</v>
      </c>
      <c r="D26" s="345">
        <v>0.02</v>
      </c>
      <c r="E26" s="294">
        <f t="shared" si="2"/>
        <v>36.75</v>
      </c>
      <c r="F26" s="136">
        <v>15</v>
      </c>
      <c r="G26" s="135">
        <f t="shared" si="3"/>
        <v>551.25</v>
      </c>
      <c r="K26" s="57"/>
    </row>
    <row r="27" spans="1:11" x14ac:dyDescent="0.2">
      <c r="A27" s="534" t="s">
        <v>405</v>
      </c>
      <c r="B27" s="535"/>
      <c r="C27" s="377">
        <v>37.5</v>
      </c>
      <c r="D27" s="345">
        <v>0.02</v>
      </c>
      <c r="E27" s="294">
        <f t="shared" si="2"/>
        <v>36.75</v>
      </c>
      <c r="F27" s="136">
        <v>11</v>
      </c>
      <c r="G27" s="135">
        <f t="shared" si="3"/>
        <v>404.25</v>
      </c>
    </row>
    <row r="28" spans="1:11" ht="15" x14ac:dyDescent="0.2">
      <c r="A28" s="291" t="s">
        <v>407</v>
      </c>
      <c r="B28" s="290"/>
      <c r="C28" s="377">
        <v>37.5</v>
      </c>
      <c r="D28" s="345">
        <v>0.02</v>
      </c>
      <c r="E28" s="294">
        <f t="shared" si="2"/>
        <v>36.75</v>
      </c>
      <c r="F28" s="136">
        <v>15</v>
      </c>
      <c r="G28" s="135">
        <f t="shared" si="3"/>
        <v>551.25</v>
      </c>
    </row>
    <row r="29" spans="1:11" ht="15" customHeight="1" x14ac:dyDescent="0.2">
      <c r="A29" s="534" t="s">
        <v>408</v>
      </c>
      <c r="B29" s="535"/>
      <c r="C29" s="377">
        <v>37.5</v>
      </c>
      <c r="D29" s="345">
        <v>0.02</v>
      </c>
      <c r="E29" s="294">
        <f>C29-(C29*D29)</f>
        <v>36.75</v>
      </c>
      <c r="F29" s="136">
        <v>15</v>
      </c>
      <c r="G29" s="135">
        <f t="shared" si="3"/>
        <v>551.25</v>
      </c>
    </row>
    <row r="30" spans="1:11" x14ac:dyDescent="0.2">
      <c r="A30" s="534" t="s">
        <v>373</v>
      </c>
      <c r="B30" s="535"/>
      <c r="C30" s="377">
        <v>37.5</v>
      </c>
      <c r="D30" s="345">
        <v>0.02</v>
      </c>
      <c r="E30" s="294">
        <f t="shared" si="2"/>
        <v>36.75</v>
      </c>
      <c r="F30" s="136">
        <v>22</v>
      </c>
      <c r="G30" s="135">
        <f t="shared" si="3"/>
        <v>808.5</v>
      </c>
    </row>
    <row r="31" spans="1:11" x14ac:dyDescent="0.2">
      <c r="A31" s="141"/>
      <c r="B31" s="141"/>
      <c r="C31" s="142"/>
      <c r="D31" s="142"/>
      <c r="E31" s="142"/>
      <c r="F31" s="141"/>
      <c r="G31" s="295"/>
    </row>
    <row r="32" spans="1:11" x14ac:dyDescent="0.2">
      <c r="A32" s="371" t="s">
        <v>456</v>
      </c>
    </row>
  </sheetData>
  <mergeCells count="24">
    <mergeCell ref="A27:B27"/>
    <mergeCell ref="A2:G2"/>
    <mergeCell ref="A6:F6"/>
    <mergeCell ref="A9:F9"/>
    <mergeCell ref="A22:G22"/>
    <mergeCell ref="A12:F12"/>
    <mergeCell ref="A20:B20"/>
    <mergeCell ref="A21:B21"/>
    <mergeCell ref="A29:B29"/>
    <mergeCell ref="A30:B30"/>
    <mergeCell ref="A3:D3"/>
    <mergeCell ref="A4:D4"/>
    <mergeCell ref="A5:D5"/>
    <mergeCell ref="A7:D7"/>
    <mergeCell ref="A8:D8"/>
    <mergeCell ref="A10:D10"/>
    <mergeCell ref="A11:D11"/>
    <mergeCell ref="A14:B14"/>
    <mergeCell ref="A15:B15"/>
    <mergeCell ref="A16:B16"/>
    <mergeCell ref="A17:B17"/>
    <mergeCell ref="A18:B18"/>
    <mergeCell ref="A19:B19"/>
    <mergeCell ref="A23:B23"/>
  </mergeCells>
  <pageMargins left="0.511811024" right="0.511811024" top="1.4697916666666666" bottom="1.193125" header="0.31496062000000002" footer="0.31496062000000002"/>
  <pageSetup paperSize="9" scale="63" orientation="portrait" r:id="rId1"/>
  <ignoredErrors>
    <ignoredError sqref="G6 G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activeCell="D8" sqref="D8"/>
    </sheetView>
  </sheetViews>
  <sheetFormatPr defaultRowHeight="12.75" x14ac:dyDescent="0.2"/>
  <cols>
    <col min="1" max="1" width="15" style="69" customWidth="1"/>
    <col min="2" max="3" width="9.140625" style="69"/>
    <col min="4" max="4" width="20.85546875" style="69" bestFit="1" customWidth="1"/>
    <col min="5" max="5" width="25" style="69" bestFit="1" customWidth="1"/>
    <col min="6" max="6" width="26.28515625" style="69" bestFit="1" customWidth="1"/>
    <col min="7" max="7" width="9.140625" style="69"/>
    <col min="8" max="8" width="13.7109375" style="69" customWidth="1"/>
    <col min="9" max="256" width="9.140625" style="69"/>
    <col min="257" max="257" width="15" style="69" customWidth="1"/>
    <col min="258" max="259" width="9.140625" style="69"/>
    <col min="260" max="260" width="20.85546875" style="69" bestFit="1" customWidth="1"/>
    <col min="261" max="261" width="25" style="69" bestFit="1" customWidth="1"/>
    <col min="262" max="262" width="26.28515625" style="69" bestFit="1" customWidth="1"/>
    <col min="263" max="512" width="9.140625" style="69"/>
    <col min="513" max="513" width="15" style="69" customWidth="1"/>
    <col min="514" max="515" width="9.140625" style="69"/>
    <col min="516" max="516" width="20.85546875" style="69" bestFit="1" customWidth="1"/>
    <col min="517" max="517" width="25" style="69" bestFit="1" customWidth="1"/>
    <col min="518" max="518" width="26.28515625" style="69" bestFit="1" customWidth="1"/>
    <col min="519" max="768" width="9.140625" style="69"/>
    <col min="769" max="769" width="15" style="69" customWidth="1"/>
    <col min="770" max="771" width="9.140625" style="69"/>
    <col min="772" max="772" width="20.85546875" style="69" bestFit="1" customWidth="1"/>
    <col min="773" max="773" width="25" style="69" bestFit="1" customWidth="1"/>
    <col min="774" max="774" width="26.28515625" style="69" bestFit="1" customWidth="1"/>
    <col min="775" max="1024" width="9.140625" style="69"/>
    <col min="1025" max="1025" width="15" style="69" customWidth="1"/>
    <col min="1026" max="1027" width="9.140625" style="69"/>
    <col min="1028" max="1028" width="20.85546875" style="69" bestFit="1" customWidth="1"/>
    <col min="1029" max="1029" width="25" style="69" bestFit="1" customWidth="1"/>
    <col min="1030" max="1030" width="26.28515625" style="69" bestFit="1" customWidth="1"/>
    <col min="1031" max="1280" width="9.140625" style="69"/>
    <col min="1281" max="1281" width="15" style="69" customWidth="1"/>
    <col min="1282" max="1283" width="9.140625" style="69"/>
    <col min="1284" max="1284" width="20.85546875" style="69" bestFit="1" customWidth="1"/>
    <col min="1285" max="1285" width="25" style="69" bestFit="1" customWidth="1"/>
    <col min="1286" max="1286" width="26.28515625" style="69" bestFit="1" customWidth="1"/>
    <col min="1287" max="1536" width="9.140625" style="69"/>
    <col min="1537" max="1537" width="15" style="69" customWidth="1"/>
    <col min="1538" max="1539" width="9.140625" style="69"/>
    <col min="1540" max="1540" width="20.85546875" style="69" bestFit="1" customWidth="1"/>
    <col min="1541" max="1541" width="25" style="69" bestFit="1" customWidth="1"/>
    <col min="1542" max="1542" width="26.28515625" style="69" bestFit="1" customWidth="1"/>
    <col min="1543" max="1792" width="9.140625" style="69"/>
    <col min="1793" max="1793" width="15" style="69" customWidth="1"/>
    <col min="1794" max="1795" width="9.140625" style="69"/>
    <col min="1796" max="1796" width="20.85546875" style="69" bestFit="1" customWidth="1"/>
    <col min="1797" max="1797" width="25" style="69" bestFit="1" customWidth="1"/>
    <col min="1798" max="1798" width="26.28515625" style="69" bestFit="1" customWidth="1"/>
    <col min="1799" max="2048" width="9.140625" style="69"/>
    <col min="2049" max="2049" width="15" style="69" customWidth="1"/>
    <col min="2050" max="2051" width="9.140625" style="69"/>
    <col min="2052" max="2052" width="20.85546875" style="69" bestFit="1" customWidth="1"/>
    <col min="2053" max="2053" width="25" style="69" bestFit="1" customWidth="1"/>
    <col min="2054" max="2054" width="26.28515625" style="69" bestFit="1" customWidth="1"/>
    <col min="2055" max="2304" width="9.140625" style="69"/>
    <col min="2305" max="2305" width="15" style="69" customWidth="1"/>
    <col min="2306" max="2307" width="9.140625" style="69"/>
    <col min="2308" max="2308" width="20.85546875" style="69" bestFit="1" customWidth="1"/>
    <col min="2309" max="2309" width="25" style="69" bestFit="1" customWidth="1"/>
    <col min="2310" max="2310" width="26.28515625" style="69" bestFit="1" customWidth="1"/>
    <col min="2311" max="2560" width="9.140625" style="69"/>
    <col min="2561" max="2561" width="15" style="69" customWidth="1"/>
    <col min="2562" max="2563" width="9.140625" style="69"/>
    <col min="2564" max="2564" width="20.85546875" style="69" bestFit="1" customWidth="1"/>
    <col min="2565" max="2565" width="25" style="69" bestFit="1" customWidth="1"/>
    <col min="2566" max="2566" width="26.28515625" style="69" bestFit="1" customWidth="1"/>
    <col min="2567" max="2816" width="9.140625" style="69"/>
    <col min="2817" max="2817" width="15" style="69" customWidth="1"/>
    <col min="2818" max="2819" width="9.140625" style="69"/>
    <col min="2820" max="2820" width="20.85546875" style="69" bestFit="1" customWidth="1"/>
    <col min="2821" max="2821" width="25" style="69" bestFit="1" customWidth="1"/>
    <col min="2822" max="2822" width="26.28515625" style="69" bestFit="1" customWidth="1"/>
    <col min="2823" max="3072" width="9.140625" style="69"/>
    <col min="3073" max="3073" width="15" style="69" customWidth="1"/>
    <col min="3074" max="3075" width="9.140625" style="69"/>
    <col min="3076" max="3076" width="20.85546875" style="69" bestFit="1" customWidth="1"/>
    <col min="3077" max="3077" width="25" style="69" bestFit="1" customWidth="1"/>
    <col min="3078" max="3078" width="26.28515625" style="69" bestFit="1" customWidth="1"/>
    <col min="3079" max="3328" width="9.140625" style="69"/>
    <col min="3329" max="3329" width="15" style="69" customWidth="1"/>
    <col min="3330" max="3331" width="9.140625" style="69"/>
    <col min="3332" max="3332" width="20.85546875" style="69" bestFit="1" customWidth="1"/>
    <col min="3333" max="3333" width="25" style="69" bestFit="1" customWidth="1"/>
    <col min="3334" max="3334" width="26.28515625" style="69" bestFit="1" customWidth="1"/>
    <col min="3335" max="3584" width="9.140625" style="69"/>
    <col min="3585" max="3585" width="15" style="69" customWidth="1"/>
    <col min="3586" max="3587" width="9.140625" style="69"/>
    <col min="3588" max="3588" width="20.85546875" style="69" bestFit="1" customWidth="1"/>
    <col min="3589" max="3589" width="25" style="69" bestFit="1" customWidth="1"/>
    <col min="3590" max="3590" width="26.28515625" style="69" bestFit="1" customWidth="1"/>
    <col min="3591" max="3840" width="9.140625" style="69"/>
    <col min="3841" max="3841" width="15" style="69" customWidth="1"/>
    <col min="3842" max="3843" width="9.140625" style="69"/>
    <col min="3844" max="3844" width="20.85546875" style="69" bestFit="1" customWidth="1"/>
    <col min="3845" max="3845" width="25" style="69" bestFit="1" customWidth="1"/>
    <col min="3846" max="3846" width="26.28515625" style="69" bestFit="1" customWidth="1"/>
    <col min="3847" max="4096" width="9.140625" style="69"/>
    <col min="4097" max="4097" width="15" style="69" customWidth="1"/>
    <col min="4098" max="4099" width="9.140625" style="69"/>
    <col min="4100" max="4100" width="20.85546875" style="69" bestFit="1" customWidth="1"/>
    <col min="4101" max="4101" width="25" style="69" bestFit="1" customWidth="1"/>
    <col min="4102" max="4102" width="26.28515625" style="69" bestFit="1" customWidth="1"/>
    <col min="4103" max="4352" width="9.140625" style="69"/>
    <col min="4353" max="4353" width="15" style="69" customWidth="1"/>
    <col min="4354" max="4355" width="9.140625" style="69"/>
    <col min="4356" max="4356" width="20.85546875" style="69" bestFit="1" customWidth="1"/>
    <col min="4357" max="4357" width="25" style="69" bestFit="1" customWidth="1"/>
    <col min="4358" max="4358" width="26.28515625" style="69" bestFit="1" customWidth="1"/>
    <col min="4359" max="4608" width="9.140625" style="69"/>
    <col min="4609" max="4609" width="15" style="69" customWidth="1"/>
    <col min="4610" max="4611" width="9.140625" style="69"/>
    <col min="4612" max="4612" width="20.85546875" style="69" bestFit="1" customWidth="1"/>
    <col min="4613" max="4613" width="25" style="69" bestFit="1" customWidth="1"/>
    <col min="4614" max="4614" width="26.28515625" style="69" bestFit="1" customWidth="1"/>
    <col min="4615" max="4864" width="9.140625" style="69"/>
    <col min="4865" max="4865" width="15" style="69" customWidth="1"/>
    <col min="4866" max="4867" width="9.140625" style="69"/>
    <col min="4868" max="4868" width="20.85546875" style="69" bestFit="1" customWidth="1"/>
    <col min="4869" max="4869" width="25" style="69" bestFit="1" customWidth="1"/>
    <col min="4870" max="4870" width="26.28515625" style="69" bestFit="1" customWidth="1"/>
    <col min="4871" max="5120" width="9.140625" style="69"/>
    <col min="5121" max="5121" width="15" style="69" customWidth="1"/>
    <col min="5122" max="5123" width="9.140625" style="69"/>
    <col min="5124" max="5124" width="20.85546875" style="69" bestFit="1" customWidth="1"/>
    <col min="5125" max="5125" width="25" style="69" bestFit="1" customWidth="1"/>
    <col min="5126" max="5126" width="26.28515625" style="69" bestFit="1" customWidth="1"/>
    <col min="5127" max="5376" width="9.140625" style="69"/>
    <col min="5377" max="5377" width="15" style="69" customWidth="1"/>
    <col min="5378" max="5379" width="9.140625" style="69"/>
    <col min="5380" max="5380" width="20.85546875" style="69" bestFit="1" customWidth="1"/>
    <col min="5381" max="5381" width="25" style="69" bestFit="1" customWidth="1"/>
    <col min="5382" max="5382" width="26.28515625" style="69" bestFit="1" customWidth="1"/>
    <col min="5383" max="5632" width="9.140625" style="69"/>
    <col min="5633" max="5633" width="15" style="69" customWidth="1"/>
    <col min="5634" max="5635" width="9.140625" style="69"/>
    <col min="5636" max="5636" width="20.85546875" style="69" bestFit="1" customWidth="1"/>
    <col min="5637" max="5637" width="25" style="69" bestFit="1" customWidth="1"/>
    <col min="5638" max="5638" width="26.28515625" style="69" bestFit="1" customWidth="1"/>
    <col min="5639" max="5888" width="9.140625" style="69"/>
    <col min="5889" max="5889" width="15" style="69" customWidth="1"/>
    <col min="5890" max="5891" width="9.140625" style="69"/>
    <col min="5892" max="5892" width="20.85546875" style="69" bestFit="1" customWidth="1"/>
    <col min="5893" max="5893" width="25" style="69" bestFit="1" customWidth="1"/>
    <col min="5894" max="5894" width="26.28515625" style="69" bestFit="1" customWidth="1"/>
    <col min="5895" max="6144" width="9.140625" style="69"/>
    <col min="6145" max="6145" width="15" style="69" customWidth="1"/>
    <col min="6146" max="6147" width="9.140625" style="69"/>
    <col min="6148" max="6148" width="20.85546875" style="69" bestFit="1" customWidth="1"/>
    <col min="6149" max="6149" width="25" style="69" bestFit="1" customWidth="1"/>
    <col min="6150" max="6150" width="26.28515625" style="69" bestFit="1" customWidth="1"/>
    <col min="6151" max="6400" width="9.140625" style="69"/>
    <col min="6401" max="6401" width="15" style="69" customWidth="1"/>
    <col min="6402" max="6403" width="9.140625" style="69"/>
    <col min="6404" max="6404" width="20.85546875" style="69" bestFit="1" customWidth="1"/>
    <col min="6405" max="6405" width="25" style="69" bestFit="1" customWidth="1"/>
    <col min="6406" max="6406" width="26.28515625" style="69" bestFit="1" customWidth="1"/>
    <col min="6407" max="6656" width="9.140625" style="69"/>
    <col min="6657" max="6657" width="15" style="69" customWidth="1"/>
    <col min="6658" max="6659" width="9.140625" style="69"/>
    <col min="6660" max="6660" width="20.85546875" style="69" bestFit="1" customWidth="1"/>
    <col min="6661" max="6661" width="25" style="69" bestFit="1" customWidth="1"/>
    <col min="6662" max="6662" width="26.28515625" style="69" bestFit="1" customWidth="1"/>
    <col min="6663" max="6912" width="9.140625" style="69"/>
    <col min="6913" max="6913" width="15" style="69" customWidth="1"/>
    <col min="6914" max="6915" width="9.140625" style="69"/>
    <col min="6916" max="6916" width="20.85546875" style="69" bestFit="1" customWidth="1"/>
    <col min="6917" max="6917" width="25" style="69" bestFit="1" customWidth="1"/>
    <col min="6918" max="6918" width="26.28515625" style="69" bestFit="1" customWidth="1"/>
    <col min="6919" max="7168" width="9.140625" style="69"/>
    <col min="7169" max="7169" width="15" style="69" customWidth="1"/>
    <col min="7170" max="7171" width="9.140625" style="69"/>
    <col min="7172" max="7172" width="20.85546875" style="69" bestFit="1" customWidth="1"/>
    <col min="7173" max="7173" width="25" style="69" bestFit="1" customWidth="1"/>
    <col min="7174" max="7174" width="26.28515625" style="69" bestFit="1" customWidth="1"/>
    <col min="7175" max="7424" width="9.140625" style="69"/>
    <col min="7425" max="7425" width="15" style="69" customWidth="1"/>
    <col min="7426" max="7427" width="9.140625" style="69"/>
    <col min="7428" max="7428" width="20.85546875" style="69" bestFit="1" customWidth="1"/>
    <col min="7429" max="7429" width="25" style="69" bestFit="1" customWidth="1"/>
    <col min="7430" max="7430" width="26.28515625" style="69" bestFit="1" customWidth="1"/>
    <col min="7431" max="7680" width="9.140625" style="69"/>
    <col min="7681" max="7681" width="15" style="69" customWidth="1"/>
    <col min="7682" max="7683" width="9.140625" style="69"/>
    <col min="7684" max="7684" width="20.85546875" style="69" bestFit="1" customWidth="1"/>
    <col min="7685" max="7685" width="25" style="69" bestFit="1" customWidth="1"/>
    <col min="7686" max="7686" width="26.28515625" style="69" bestFit="1" customWidth="1"/>
    <col min="7687" max="7936" width="9.140625" style="69"/>
    <col min="7937" max="7937" width="15" style="69" customWidth="1"/>
    <col min="7938" max="7939" width="9.140625" style="69"/>
    <col min="7940" max="7940" width="20.85546875" style="69" bestFit="1" customWidth="1"/>
    <col min="7941" max="7941" width="25" style="69" bestFit="1" customWidth="1"/>
    <col min="7942" max="7942" width="26.28515625" style="69" bestFit="1" customWidth="1"/>
    <col min="7943" max="8192" width="9.140625" style="69"/>
    <col min="8193" max="8193" width="15" style="69" customWidth="1"/>
    <col min="8194" max="8195" width="9.140625" style="69"/>
    <col min="8196" max="8196" width="20.85546875" style="69" bestFit="1" customWidth="1"/>
    <col min="8197" max="8197" width="25" style="69" bestFit="1" customWidth="1"/>
    <col min="8198" max="8198" width="26.28515625" style="69" bestFit="1" customWidth="1"/>
    <col min="8199" max="8448" width="9.140625" style="69"/>
    <col min="8449" max="8449" width="15" style="69" customWidth="1"/>
    <col min="8450" max="8451" width="9.140625" style="69"/>
    <col min="8452" max="8452" width="20.85546875" style="69" bestFit="1" customWidth="1"/>
    <col min="8453" max="8453" width="25" style="69" bestFit="1" customWidth="1"/>
    <col min="8454" max="8454" width="26.28515625" style="69" bestFit="1" customWidth="1"/>
    <col min="8455" max="8704" width="9.140625" style="69"/>
    <col min="8705" max="8705" width="15" style="69" customWidth="1"/>
    <col min="8706" max="8707" width="9.140625" style="69"/>
    <col min="8708" max="8708" width="20.85546875" style="69" bestFit="1" customWidth="1"/>
    <col min="8709" max="8709" width="25" style="69" bestFit="1" customWidth="1"/>
    <col min="8710" max="8710" width="26.28515625" style="69" bestFit="1" customWidth="1"/>
    <col min="8711" max="8960" width="9.140625" style="69"/>
    <col min="8961" max="8961" width="15" style="69" customWidth="1"/>
    <col min="8962" max="8963" width="9.140625" style="69"/>
    <col min="8964" max="8964" width="20.85546875" style="69" bestFit="1" customWidth="1"/>
    <col min="8965" max="8965" width="25" style="69" bestFit="1" customWidth="1"/>
    <col min="8966" max="8966" width="26.28515625" style="69" bestFit="1" customWidth="1"/>
    <col min="8967" max="9216" width="9.140625" style="69"/>
    <col min="9217" max="9217" width="15" style="69" customWidth="1"/>
    <col min="9218" max="9219" width="9.140625" style="69"/>
    <col min="9220" max="9220" width="20.85546875" style="69" bestFit="1" customWidth="1"/>
    <col min="9221" max="9221" width="25" style="69" bestFit="1" customWidth="1"/>
    <col min="9222" max="9222" width="26.28515625" style="69" bestFit="1" customWidth="1"/>
    <col min="9223" max="9472" width="9.140625" style="69"/>
    <col min="9473" max="9473" width="15" style="69" customWidth="1"/>
    <col min="9474" max="9475" width="9.140625" style="69"/>
    <col min="9476" max="9476" width="20.85546875" style="69" bestFit="1" customWidth="1"/>
    <col min="9477" max="9477" width="25" style="69" bestFit="1" customWidth="1"/>
    <col min="9478" max="9478" width="26.28515625" style="69" bestFit="1" customWidth="1"/>
    <col min="9479" max="9728" width="9.140625" style="69"/>
    <col min="9729" max="9729" width="15" style="69" customWidth="1"/>
    <col min="9730" max="9731" width="9.140625" style="69"/>
    <col min="9732" max="9732" width="20.85546875" style="69" bestFit="1" customWidth="1"/>
    <col min="9733" max="9733" width="25" style="69" bestFit="1" customWidth="1"/>
    <col min="9734" max="9734" width="26.28515625" style="69" bestFit="1" customWidth="1"/>
    <col min="9735" max="9984" width="9.140625" style="69"/>
    <col min="9985" max="9985" width="15" style="69" customWidth="1"/>
    <col min="9986" max="9987" width="9.140625" style="69"/>
    <col min="9988" max="9988" width="20.85546875" style="69" bestFit="1" customWidth="1"/>
    <col min="9989" max="9989" width="25" style="69" bestFit="1" customWidth="1"/>
    <col min="9990" max="9990" width="26.28515625" style="69" bestFit="1" customWidth="1"/>
    <col min="9991" max="10240" width="9.140625" style="69"/>
    <col min="10241" max="10241" width="15" style="69" customWidth="1"/>
    <col min="10242" max="10243" width="9.140625" style="69"/>
    <col min="10244" max="10244" width="20.85546875" style="69" bestFit="1" customWidth="1"/>
    <col min="10245" max="10245" width="25" style="69" bestFit="1" customWidth="1"/>
    <col min="10246" max="10246" width="26.28515625" style="69" bestFit="1" customWidth="1"/>
    <col min="10247" max="10496" width="9.140625" style="69"/>
    <col min="10497" max="10497" width="15" style="69" customWidth="1"/>
    <col min="10498" max="10499" width="9.140625" style="69"/>
    <col min="10500" max="10500" width="20.85546875" style="69" bestFit="1" customWidth="1"/>
    <col min="10501" max="10501" width="25" style="69" bestFit="1" customWidth="1"/>
    <col min="10502" max="10502" width="26.28515625" style="69" bestFit="1" customWidth="1"/>
    <col min="10503" max="10752" width="9.140625" style="69"/>
    <col min="10753" max="10753" width="15" style="69" customWidth="1"/>
    <col min="10754" max="10755" width="9.140625" style="69"/>
    <col min="10756" max="10756" width="20.85546875" style="69" bestFit="1" customWidth="1"/>
    <col min="10757" max="10757" width="25" style="69" bestFit="1" customWidth="1"/>
    <col min="10758" max="10758" width="26.28515625" style="69" bestFit="1" customWidth="1"/>
    <col min="10759" max="11008" width="9.140625" style="69"/>
    <col min="11009" max="11009" width="15" style="69" customWidth="1"/>
    <col min="11010" max="11011" width="9.140625" style="69"/>
    <col min="11012" max="11012" width="20.85546875" style="69" bestFit="1" customWidth="1"/>
    <col min="11013" max="11013" width="25" style="69" bestFit="1" customWidth="1"/>
    <col min="11014" max="11014" width="26.28515625" style="69" bestFit="1" customWidth="1"/>
    <col min="11015" max="11264" width="9.140625" style="69"/>
    <col min="11265" max="11265" width="15" style="69" customWidth="1"/>
    <col min="11266" max="11267" width="9.140625" style="69"/>
    <col min="11268" max="11268" width="20.85546875" style="69" bestFit="1" customWidth="1"/>
    <col min="11269" max="11269" width="25" style="69" bestFit="1" customWidth="1"/>
    <col min="11270" max="11270" width="26.28515625" style="69" bestFit="1" customWidth="1"/>
    <col min="11271" max="11520" width="9.140625" style="69"/>
    <col min="11521" max="11521" width="15" style="69" customWidth="1"/>
    <col min="11522" max="11523" width="9.140625" style="69"/>
    <col min="11524" max="11524" width="20.85546875" style="69" bestFit="1" customWidth="1"/>
    <col min="11525" max="11525" width="25" style="69" bestFit="1" customWidth="1"/>
    <col min="11526" max="11526" width="26.28515625" style="69" bestFit="1" customWidth="1"/>
    <col min="11527" max="11776" width="9.140625" style="69"/>
    <col min="11777" max="11777" width="15" style="69" customWidth="1"/>
    <col min="11778" max="11779" width="9.140625" style="69"/>
    <col min="11780" max="11780" width="20.85546875" style="69" bestFit="1" customWidth="1"/>
    <col min="11781" max="11781" width="25" style="69" bestFit="1" customWidth="1"/>
    <col min="11782" max="11782" width="26.28515625" style="69" bestFit="1" customWidth="1"/>
    <col min="11783" max="12032" width="9.140625" style="69"/>
    <col min="12033" max="12033" width="15" style="69" customWidth="1"/>
    <col min="12034" max="12035" width="9.140625" style="69"/>
    <col min="12036" max="12036" width="20.85546875" style="69" bestFit="1" customWidth="1"/>
    <col min="12037" max="12037" width="25" style="69" bestFit="1" customWidth="1"/>
    <col min="12038" max="12038" width="26.28515625" style="69" bestFit="1" customWidth="1"/>
    <col min="12039" max="12288" width="9.140625" style="69"/>
    <col min="12289" max="12289" width="15" style="69" customWidth="1"/>
    <col min="12290" max="12291" width="9.140625" style="69"/>
    <col min="12292" max="12292" width="20.85546875" style="69" bestFit="1" customWidth="1"/>
    <col min="12293" max="12293" width="25" style="69" bestFit="1" customWidth="1"/>
    <col min="12294" max="12294" width="26.28515625" style="69" bestFit="1" customWidth="1"/>
    <col min="12295" max="12544" width="9.140625" style="69"/>
    <col min="12545" max="12545" width="15" style="69" customWidth="1"/>
    <col min="12546" max="12547" width="9.140625" style="69"/>
    <col min="12548" max="12548" width="20.85546875" style="69" bestFit="1" customWidth="1"/>
    <col min="12549" max="12549" width="25" style="69" bestFit="1" customWidth="1"/>
    <col min="12550" max="12550" width="26.28515625" style="69" bestFit="1" customWidth="1"/>
    <col min="12551" max="12800" width="9.140625" style="69"/>
    <col min="12801" max="12801" width="15" style="69" customWidth="1"/>
    <col min="12802" max="12803" width="9.140625" style="69"/>
    <col min="12804" max="12804" width="20.85546875" style="69" bestFit="1" customWidth="1"/>
    <col min="12805" max="12805" width="25" style="69" bestFit="1" customWidth="1"/>
    <col min="12806" max="12806" width="26.28515625" style="69" bestFit="1" customWidth="1"/>
    <col min="12807" max="13056" width="9.140625" style="69"/>
    <col min="13057" max="13057" width="15" style="69" customWidth="1"/>
    <col min="13058" max="13059" width="9.140625" style="69"/>
    <col min="13060" max="13060" width="20.85546875" style="69" bestFit="1" customWidth="1"/>
    <col min="13061" max="13061" width="25" style="69" bestFit="1" customWidth="1"/>
    <col min="13062" max="13062" width="26.28515625" style="69" bestFit="1" customWidth="1"/>
    <col min="13063" max="13312" width="9.140625" style="69"/>
    <col min="13313" max="13313" width="15" style="69" customWidth="1"/>
    <col min="13314" max="13315" width="9.140625" style="69"/>
    <col min="13316" max="13316" width="20.85546875" style="69" bestFit="1" customWidth="1"/>
    <col min="13317" max="13317" width="25" style="69" bestFit="1" customWidth="1"/>
    <col min="13318" max="13318" width="26.28515625" style="69" bestFit="1" customWidth="1"/>
    <col min="13319" max="13568" width="9.140625" style="69"/>
    <col min="13569" max="13569" width="15" style="69" customWidth="1"/>
    <col min="13570" max="13571" width="9.140625" style="69"/>
    <col min="13572" max="13572" width="20.85546875" style="69" bestFit="1" customWidth="1"/>
    <col min="13573" max="13573" width="25" style="69" bestFit="1" customWidth="1"/>
    <col min="13574" max="13574" width="26.28515625" style="69" bestFit="1" customWidth="1"/>
    <col min="13575" max="13824" width="9.140625" style="69"/>
    <col min="13825" max="13825" width="15" style="69" customWidth="1"/>
    <col min="13826" max="13827" width="9.140625" style="69"/>
    <col min="13828" max="13828" width="20.85546875" style="69" bestFit="1" customWidth="1"/>
    <col min="13829" max="13829" width="25" style="69" bestFit="1" customWidth="1"/>
    <col min="13830" max="13830" width="26.28515625" style="69" bestFit="1" customWidth="1"/>
    <col min="13831" max="14080" width="9.140625" style="69"/>
    <col min="14081" max="14081" width="15" style="69" customWidth="1"/>
    <col min="14082" max="14083" width="9.140625" style="69"/>
    <col min="14084" max="14084" width="20.85546875" style="69" bestFit="1" customWidth="1"/>
    <col min="14085" max="14085" width="25" style="69" bestFit="1" customWidth="1"/>
    <col min="14086" max="14086" width="26.28515625" style="69" bestFit="1" customWidth="1"/>
    <col min="14087" max="14336" width="9.140625" style="69"/>
    <col min="14337" max="14337" width="15" style="69" customWidth="1"/>
    <col min="14338" max="14339" width="9.140625" style="69"/>
    <col min="14340" max="14340" width="20.85546875" style="69" bestFit="1" customWidth="1"/>
    <col min="14341" max="14341" width="25" style="69" bestFit="1" customWidth="1"/>
    <col min="14342" max="14342" width="26.28515625" style="69" bestFit="1" customWidth="1"/>
    <col min="14343" max="14592" width="9.140625" style="69"/>
    <col min="14593" max="14593" width="15" style="69" customWidth="1"/>
    <col min="14594" max="14595" width="9.140625" style="69"/>
    <col min="14596" max="14596" width="20.85546875" style="69" bestFit="1" customWidth="1"/>
    <col min="14597" max="14597" width="25" style="69" bestFit="1" customWidth="1"/>
    <col min="14598" max="14598" width="26.28515625" style="69" bestFit="1" customWidth="1"/>
    <col min="14599" max="14848" width="9.140625" style="69"/>
    <col min="14849" max="14849" width="15" style="69" customWidth="1"/>
    <col min="14850" max="14851" width="9.140625" style="69"/>
    <col min="14852" max="14852" width="20.85546875" style="69" bestFit="1" customWidth="1"/>
    <col min="14853" max="14853" width="25" style="69" bestFit="1" customWidth="1"/>
    <col min="14854" max="14854" width="26.28515625" style="69" bestFit="1" customWidth="1"/>
    <col min="14855" max="15104" width="9.140625" style="69"/>
    <col min="15105" max="15105" width="15" style="69" customWidth="1"/>
    <col min="15106" max="15107" width="9.140625" style="69"/>
    <col min="15108" max="15108" width="20.85546875" style="69" bestFit="1" customWidth="1"/>
    <col min="15109" max="15109" width="25" style="69" bestFit="1" customWidth="1"/>
    <col min="15110" max="15110" width="26.28515625" style="69" bestFit="1" customWidth="1"/>
    <col min="15111" max="15360" width="9.140625" style="69"/>
    <col min="15361" max="15361" width="15" style="69" customWidth="1"/>
    <col min="15362" max="15363" width="9.140625" style="69"/>
    <col min="15364" max="15364" width="20.85546875" style="69" bestFit="1" customWidth="1"/>
    <col min="15365" max="15365" width="25" style="69" bestFit="1" customWidth="1"/>
    <col min="15366" max="15366" width="26.28515625" style="69" bestFit="1" customWidth="1"/>
    <col min="15367" max="15616" width="9.140625" style="69"/>
    <col min="15617" max="15617" width="15" style="69" customWidth="1"/>
    <col min="15618" max="15619" width="9.140625" style="69"/>
    <col min="15620" max="15620" width="20.85546875" style="69" bestFit="1" customWidth="1"/>
    <col min="15621" max="15621" width="25" style="69" bestFit="1" customWidth="1"/>
    <col min="15622" max="15622" width="26.28515625" style="69" bestFit="1" customWidth="1"/>
    <col min="15623" max="15872" width="9.140625" style="69"/>
    <col min="15873" max="15873" width="15" style="69" customWidth="1"/>
    <col min="15874" max="15875" width="9.140625" style="69"/>
    <col min="15876" max="15876" width="20.85546875" style="69" bestFit="1" customWidth="1"/>
    <col min="15877" max="15877" width="25" style="69" bestFit="1" customWidth="1"/>
    <col min="15878" max="15878" width="26.28515625" style="69" bestFit="1" customWidth="1"/>
    <col min="15879" max="16128" width="9.140625" style="69"/>
    <col min="16129" max="16129" width="15" style="69" customWidth="1"/>
    <col min="16130" max="16131" width="9.140625" style="69"/>
    <col min="16132" max="16132" width="20.85546875" style="69" bestFit="1" customWidth="1"/>
    <col min="16133" max="16133" width="25" style="69" bestFit="1" customWidth="1"/>
    <col min="16134" max="16134" width="26.28515625" style="69" bestFit="1" customWidth="1"/>
    <col min="16135" max="16384" width="9.140625" style="69"/>
  </cols>
  <sheetData>
    <row r="1" spans="1:10" ht="15" thickBot="1" x14ac:dyDescent="0.25">
      <c r="A1" s="551" t="s">
        <v>213</v>
      </c>
      <c r="B1" s="552"/>
      <c r="C1" s="552"/>
      <c r="D1" s="552"/>
      <c r="E1" s="552"/>
      <c r="F1" s="553"/>
      <c r="G1" s="68"/>
      <c r="H1" s="68"/>
    </row>
    <row r="2" spans="1:10" x14ac:dyDescent="0.2">
      <c r="A2" s="554" t="s">
        <v>214</v>
      </c>
      <c r="B2" s="554" t="s">
        <v>215</v>
      </c>
      <c r="C2" s="554" t="s">
        <v>216</v>
      </c>
      <c r="D2" s="554" t="s">
        <v>217</v>
      </c>
      <c r="E2" s="554" t="s">
        <v>218</v>
      </c>
      <c r="F2" s="554" t="s">
        <v>219</v>
      </c>
      <c r="G2" s="68"/>
      <c r="H2" s="68"/>
    </row>
    <row r="3" spans="1:10" ht="13.5" thickBot="1" x14ac:dyDescent="0.25">
      <c r="A3" s="555"/>
      <c r="B3" s="555"/>
      <c r="C3" s="555"/>
      <c r="D3" s="555"/>
      <c r="E3" s="555"/>
      <c r="F3" s="555"/>
      <c r="G3" s="68"/>
      <c r="H3" s="68"/>
    </row>
    <row r="4" spans="1:10" ht="26.25" thickBot="1" x14ac:dyDescent="0.25">
      <c r="A4" s="70" t="s">
        <v>220</v>
      </c>
      <c r="B4" s="71" t="s">
        <v>221</v>
      </c>
      <c r="C4" s="71">
        <v>1</v>
      </c>
      <c r="D4" s="72">
        <v>1990</v>
      </c>
      <c r="E4" s="72">
        <f>D4*C4</f>
        <v>1990</v>
      </c>
      <c r="F4" s="73">
        <f>E4/H5</f>
        <v>165.83333333333334</v>
      </c>
      <c r="G4" s="68"/>
      <c r="H4" s="74" t="s">
        <v>207</v>
      </c>
    </row>
    <row r="5" spans="1:10" ht="13.5" thickBot="1" x14ac:dyDescent="0.25">
      <c r="A5" s="545" t="s">
        <v>222</v>
      </c>
      <c r="B5" s="546"/>
      <c r="C5" s="547"/>
      <c r="D5" s="548" t="s">
        <v>223</v>
      </c>
      <c r="E5" s="547"/>
      <c r="F5" s="75">
        <f>F4/6</f>
        <v>27.638888888888889</v>
      </c>
      <c r="G5" s="76"/>
      <c r="H5" s="74">
        <v>12</v>
      </c>
      <c r="I5" s="549"/>
      <c r="J5" s="550"/>
    </row>
  </sheetData>
  <mergeCells count="10">
    <mergeCell ref="A5:C5"/>
    <mergeCell ref="D5:E5"/>
    <mergeCell ref="I5:J5"/>
    <mergeCell ref="A1:F1"/>
    <mergeCell ref="A2:A3"/>
    <mergeCell ref="B2:B3"/>
    <mergeCell ref="C2:C3"/>
    <mergeCell ref="D2:D3"/>
    <mergeCell ref="E2:E3"/>
    <mergeCell ref="F2:F3"/>
  </mergeCells>
  <pageMargins left="0.511811024" right="0.511811024" top="1.5111458333333334" bottom="1.2886458333333333" header="0.31496062000000002" footer="0.31496062000000002"/>
  <pageSetup paperSize="9" scale="89" orientation="portrait" r:id="rId1"/>
  <headerFooter>
    <oddHeader>&amp;C&amp;G</oddHeader>
    <oddFooter xml:space="preserve">&amp;LCNPJ: 08.247.960/0001-62
Fone: (61) 3363-7575 – (61) 3052-2579
comercial@realdp.com.br
&amp;RCF/DF: 07.478.593/001-20
SIBS QD. 01 – CONJ B – LOTE 16
CEP: 71.736-102
NÚCLEO BANDEIRANTE – BRASÍLIA - DF
</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view="pageBreakPreview" topLeftCell="A61" zoomScaleNormal="100" zoomScaleSheetLayoutView="100" workbookViewId="0">
      <selection activeCell="B69" sqref="A68:B69"/>
    </sheetView>
  </sheetViews>
  <sheetFormatPr defaultRowHeight="12.75" x14ac:dyDescent="0.2"/>
  <cols>
    <col min="1" max="1" width="6" style="30" customWidth="1"/>
    <col min="2" max="2" width="67.140625" style="30" customWidth="1"/>
    <col min="3" max="3" width="15.140625" style="30" customWidth="1"/>
    <col min="4" max="4" width="8.140625" style="30" customWidth="1"/>
    <col min="5" max="5" width="12.140625" style="30" customWidth="1"/>
    <col min="6" max="6" width="11.85546875" style="30" customWidth="1"/>
    <col min="7" max="7" width="14.85546875" style="30" customWidth="1"/>
    <col min="8" max="8" width="16.140625" style="30" customWidth="1"/>
    <col min="9" max="9" width="16" style="30" customWidth="1"/>
    <col min="10" max="16384" width="9.140625" style="30"/>
  </cols>
  <sheetData>
    <row r="1" spans="1:9" ht="13.5" thickBot="1" x14ac:dyDescent="0.25">
      <c r="A1" s="585" t="s">
        <v>224</v>
      </c>
      <c r="B1" s="586"/>
      <c r="C1" s="586"/>
      <c r="D1" s="586"/>
      <c r="E1" s="586"/>
      <c r="F1" s="586"/>
      <c r="G1" s="586"/>
      <c r="H1" s="586"/>
      <c r="I1" s="587"/>
    </row>
    <row r="2" spans="1:9" ht="56.25" customHeight="1" thickBot="1" x14ac:dyDescent="0.25">
      <c r="A2" s="575" t="s">
        <v>225</v>
      </c>
      <c r="B2" s="578" t="s">
        <v>226</v>
      </c>
      <c r="C2" s="569" t="s">
        <v>227</v>
      </c>
      <c r="D2" s="569" t="s">
        <v>127</v>
      </c>
      <c r="E2" s="569" t="s">
        <v>228</v>
      </c>
      <c r="F2" s="77" t="s">
        <v>229</v>
      </c>
      <c r="G2" s="569" t="s">
        <v>230</v>
      </c>
      <c r="H2" s="569" t="s">
        <v>231</v>
      </c>
      <c r="I2" s="569" t="s">
        <v>232</v>
      </c>
    </row>
    <row r="3" spans="1:9" ht="13.5" thickBot="1" x14ac:dyDescent="0.25">
      <c r="A3" s="576"/>
      <c r="B3" s="579"/>
      <c r="C3" s="571"/>
      <c r="D3" s="570"/>
      <c r="E3" s="570"/>
      <c r="F3" s="78">
        <f>E79</f>
        <v>0.23720116618075782</v>
      </c>
      <c r="G3" s="570"/>
      <c r="H3" s="570"/>
      <c r="I3" s="571"/>
    </row>
    <row r="4" spans="1:9" ht="13.5" thickBot="1" x14ac:dyDescent="0.25">
      <c r="A4" s="577"/>
      <c r="B4" s="580"/>
      <c r="C4" s="570"/>
      <c r="D4" s="79" t="s">
        <v>1</v>
      </c>
      <c r="E4" s="79" t="s">
        <v>2</v>
      </c>
      <c r="F4" s="79" t="s">
        <v>4</v>
      </c>
      <c r="G4" s="79" t="s">
        <v>233</v>
      </c>
      <c r="H4" s="79" t="s">
        <v>234</v>
      </c>
      <c r="I4" s="570"/>
    </row>
    <row r="5" spans="1:9" x14ac:dyDescent="0.2">
      <c r="A5" s="80">
        <v>1</v>
      </c>
      <c r="B5" s="81" t="s">
        <v>235</v>
      </c>
      <c r="C5" s="82" t="s">
        <v>236</v>
      </c>
      <c r="D5" s="83">
        <v>900</v>
      </c>
      <c r="E5" s="84">
        <v>14.08</v>
      </c>
      <c r="F5" s="85">
        <f>E5*F3</f>
        <v>3.3397924198250699</v>
      </c>
      <c r="G5" s="86">
        <f>E5+F5</f>
        <v>17.419792419825072</v>
      </c>
      <c r="H5" s="86">
        <f>G5*D5</f>
        <v>15677.813177842565</v>
      </c>
      <c r="I5" s="86">
        <f>D5*E5</f>
        <v>12672</v>
      </c>
    </row>
    <row r="6" spans="1:9" x14ac:dyDescent="0.2">
      <c r="A6" s="80">
        <v>2</v>
      </c>
      <c r="B6" s="81" t="s">
        <v>237</v>
      </c>
      <c r="C6" s="82" t="s">
        <v>238</v>
      </c>
      <c r="D6" s="83">
        <v>115</v>
      </c>
      <c r="E6" s="84">
        <v>1.88</v>
      </c>
      <c r="F6" s="85">
        <f>E6*F3</f>
        <v>0.44593819241982469</v>
      </c>
      <c r="G6" s="86">
        <f t="shared" ref="G6:G9" si="0">E6+F6</f>
        <v>2.3259381924198248</v>
      </c>
      <c r="H6" s="86">
        <f t="shared" ref="H6:H9" si="1">G6*D6</f>
        <v>267.48289212827984</v>
      </c>
      <c r="I6" s="86">
        <f t="shared" ref="I6:I9" si="2">D6*E6</f>
        <v>216.2</v>
      </c>
    </row>
    <row r="7" spans="1:9" ht="91.5" customHeight="1" x14ac:dyDescent="0.2">
      <c r="A7" s="80">
        <v>3</v>
      </c>
      <c r="B7" s="81" t="s">
        <v>239</v>
      </c>
      <c r="C7" s="82" t="s">
        <v>240</v>
      </c>
      <c r="D7" s="87">
        <v>4000</v>
      </c>
      <c r="E7" s="84">
        <v>37.07</v>
      </c>
      <c r="F7" s="85">
        <f>E7*F3</f>
        <v>8.7930472303206919</v>
      </c>
      <c r="G7" s="86">
        <f t="shared" si="0"/>
        <v>45.863047230320689</v>
      </c>
      <c r="H7" s="86">
        <f t="shared" si="1"/>
        <v>183452.18892128277</v>
      </c>
      <c r="I7" s="86">
        <f t="shared" si="2"/>
        <v>148280</v>
      </c>
    </row>
    <row r="8" spans="1:9" ht="63.75" x14ac:dyDescent="0.2">
      <c r="A8" s="80">
        <v>4</v>
      </c>
      <c r="B8" s="81" t="s">
        <v>241</v>
      </c>
      <c r="C8" s="82" t="s">
        <v>240</v>
      </c>
      <c r="D8" s="83">
        <v>200</v>
      </c>
      <c r="E8" s="84">
        <v>15.95</v>
      </c>
      <c r="F8" s="85">
        <f>E8*F3</f>
        <v>3.783358600583087</v>
      </c>
      <c r="G8" s="86">
        <f t="shared" si="0"/>
        <v>19.733358600583088</v>
      </c>
      <c r="H8" s="86">
        <f t="shared" si="1"/>
        <v>3946.6717201166175</v>
      </c>
      <c r="I8" s="86">
        <f t="shared" si="2"/>
        <v>3190</v>
      </c>
    </row>
    <row r="9" spans="1:9" ht="38.25" x14ac:dyDescent="0.2">
      <c r="A9" s="80">
        <v>5</v>
      </c>
      <c r="B9" s="81" t="s">
        <v>242</v>
      </c>
      <c r="C9" s="88" t="s">
        <v>243</v>
      </c>
      <c r="D9" s="87">
        <v>6000</v>
      </c>
      <c r="E9" s="84">
        <v>4.75</v>
      </c>
      <c r="F9" s="85">
        <f>E9*F3</f>
        <v>1.1267055393585996</v>
      </c>
      <c r="G9" s="86">
        <f t="shared" si="0"/>
        <v>5.8767055393585999</v>
      </c>
      <c r="H9" s="86">
        <f t="shared" si="1"/>
        <v>35260.233236151602</v>
      </c>
      <c r="I9" s="86">
        <f t="shared" si="2"/>
        <v>28500</v>
      </c>
    </row>
    <row r="10" spans="1:9" ht="15" x14ac:dyDescent="0.25">
      <c r="A10" s="572" t="s">
        <v>129</v>
      </c>
      <c r="B10" s="573"/>
      <c r="C10" s="573"/>
      <c r="D10" s="573"/>
      <c r="E10" s="573"/>
      <c r="F10" s="573"/>
      <c r="G10" s="574"/>
      <c r="H10" s="89">
        <f>SUM(H5:H9)</f>
        <v>238604.38994752182</v>
      </c>
      <c r="I10" s="90">
        <f>SUM(I5:I9)</f>
        <v>192858.2</v>
      </c>
    </row>
    <row r="11" spans="1:9" ht="13.5" thickBot="1" x14ac:dyDescent="0.25"/>
    <row r="12" spans="1:9" ht="30.75" thickBot="1" x14ac:dyDescent="0.25">
      <c r="A12" s="575" t="s">
        <v>225</v>
      </c>
      <c r="B12" s="578" t="s">
        <v>244</v>
      </c>
      <c r="C12" s="569" t="s">
        <v>227</v>
      </c>
      <c r="D12" s="569" t="s">
        <v>127</v>
      </c>
      <c r="E12" s="569" t="s">
        <v>228</v>
      </c>
      <c r="F12" s="77" t="s">
        <v>229</v>
      </c>
      <c r="G12" s="569" t="s">
        <v>230</v>
      </c>
      <c r="H12" s="569" t="s">
        <v>231</v>
      </c>
      <c r="I12" s="569" t="s">
        <v>232</v>
      </c>
    </row>
    <row r="13" spans="1:9" ht="13.5" thickBot="1" x14ac:dyDescent="0.25">
      <c r="A13" s="576"/>
      <c r="B13" s="579"/>
      <c r="C13" s="571"/>
      <c r="D13" s="570"/>
      <c r="E13" s="570"/>
      <c r="F13" s="78">
        <f>E79</f>
        <v>0.23720116618075782</v>
      </c>
      <c r="G13" s="570"/>
      <c r="H13" s="570"/>
      <c r="I13" s="571"/>
    </row>
    <row r="14" spans="1:9" ht="13.5" thickBot="1" x14ac:dyDescent="0.25">
      <c r="A14" s="577"/>
      <c r="B14" s="580"/>
      <c r="C14" s="570"/>
      <c r="D14" s="79" t="s">
        <v>1</v>
      </c>
      <c r="E14" s="79" t="s">
        <v>2</v>
      </c>
      <c r="F14" s="79" t="s">
        <v>4</v>
      </c>
      <c r="G14" s="79" t="s">
        <v>233</v>
      </c>
      <c r="H14" s="79" t="s">
        <v>234</v>
      </c>
      <c r="I14" s="570"/>
    </row>
    <row r="15" spans="1:9" x14ac:dyDescent="0.2">
      <c r="A15" s="80">
        <v>6</v>
      </c>
      <c r="B15" s="81" t="s">
        <v>245</v>
      </c>
      <c r="C15" s="82" t="s">
        <v>238</v>
      </c>
      <c r="D15" s="83">
        <v>350</v>
      </c>
      <c r="E15" s="84">
        <v>2.86</v>
      </c>
      <c r="F15" s="85">
        <f>E15*F13</f>
        <v>0.67839533527696727</v>
      </c>
      <c r="G15" s="86">
        <f>E15+F15</f>
        <v>3.538395335276967</v>
      </c>
      <c r="H15" s="86">
        <f>G15*D15</f>
        <v>1238.4383673469385</v>
      </c>
      <c r="I15" s="86">
        <f>D15*E15</f>
        <v>1001</v>
      </c>
    </row>
    <row r="16" spans="1:9" ht="25.5" x14ac:dyDescent="0.2">
      <c r="A16" s="80">
        <f>A15+1</f>
        <v>7</v>
      </c>
      <c r="B16" s="81" t="s">
        <v>246</v>
      </c>
      <c r="C16" s="82" t="s">
        <v>238</v>
      </c>
      <c r="D16" s="83">
        <v>1200</v>
      </c>
      <c r="E16" s="84">
        <v>1.63</v>
      </c>
      <c r="F16" s="85">
        <f>E16*F13</f>
        <v>0.38663790087463523</v>
      </c>
      <c r="G16" s="86">
        <f t="shared" ref="G16:G28" si="3">E16+F16</f>
        <v>2.0166379008746351</v>
      </c>
      <c r="H16" s="86">
        <f t="shared" ref="H16:H28" si="4">G16*D16</f>
        <v>2419.9654810495622</v>
      </c>
      <c r="I16" s="86">
        <f t="shared" ref="I16:I28" si="5">D16*E16</f>
        <v>1955.9999999999998</v>
      </c>
    </row>
    <row r="17" spans="1:9" x14ac:dyDescent="0.2">
      <c r="A17" s="80">
        <f t="shared" ref="A17:A28" si="6">A16+1</f>
        <v>8</v>
      </c>
      <c r="B17" s="81" t="s">
        <v>247</v>
      </c>
      <c r="C17" s="82" t="s">
        <v>238</v>
      </c>
      <c r="D17" s="87">
        <v>240</v>
      </c>
      <c r="E17" s="84">
        <v>2.15</v>
      </c>
      <c r="F17" s="85">
        <f>E17*F13</f>
        <v>0.50998250728862926</v>
      </c>
      <c r="G17" s="86">
        <f t="shared" si="3"/>
        <v>2.6599825072886292</v>
      </c>
      <c r="H17" s="86">
        <f t="shared" si="4"/>
        <v>638.39580174927096</v>
      </c>
      <c r="I17" s="86">
        <f t="shared" si="5"/>
        <v>516</v>
      </c>
    </row>
    <row r="18" spans="1:9" x14ac:dyDescent="0.2">
      <c r="A18" s="80">
        <f t="shared" si="6"/>
        <v>9</v>
      </c>
      <c r="B18" s="81" t="s">
        <v>248</v>
      </c>
      <c r="C18" s="82" t="s">
        <v>238</v>
      </c>
      <c r="D18" s="87">
        <v>1200</v>
      </c>
      <c r="E18" s="84">
        <v>0.77</v>
      </c>
      <c r="F18" s="85">
        <f>E18*F13</f>
        <v>0.18264489795918351</v>
      </c>
      <c r="G18" s="86">
        <f t="shared" si="3"/>
        <v>0.9526448979591835</v>
      </c>
      <c r="H18" s="86">
        <f t="shared" si="4"/>
        <v>1143.1738775510203</v>
      </c>
      <c r="I18" s="86">
        <f t="shared" si="5"/>
        <v>924</v>
      </c>
    </row>
    <row r="19" spans="1:9" x14ac:dyDescent="0.2">
      <c r="A19" s="80">
        <f t="shared" si="6"/>
        <v>10</v>
      </c>
      <c r="B19" s="81" t="s">
        <v>249</v>
      </c>
      <c r="C19" s="82" t="s">
        <v>250</v>
      </c>
      <c r="D19" s="87">
        <v>200</v>
      </c>
      <c r="E19" s="84">
        <v>1.46</v>
      </c>
      <c r="F19" s="85">
        <f>E19*F13</f>
        <v>0.34631370262390643</v>
      </c>
      <c r="G19" s="86">
        <f t="shared" si="3"/>
        <v>1.8063137026239064</v>
      </c>
      <c r="H19" s="86">
        <f t="shared" si="4"/>
        <v>361.26274052478129</v>
      </c>
      <c r="I19" s="86">
        <f t="shared" si="5"/>
        <v>292</v>
      </c>
    </row>
    <row r="20" spans="1:9" x14ac:dyDescent="0.2">
      <c r="A20" s="80">
        <f t="shared" si="6"/>
        <v>11</v>
      </c>
      <c r="B20" s="81" t="s">
        <v>251</v>
      </c>
      <c r="C20" s="82" t="s">
        <v>252</v>
      </c>
      <c r="D20" s="87">
        <v>36</v>
      </c>
      <c r="E20" s="84">
        <v>30.46</v>
      </c>
      <c r="F20" s="85">
        <f>E20*F13</f>
        <v>7.2251475218658836</v>
      </c>
      <c r="G20" s="86">
        <f t="shared" si="3"/>
        <v>37.685147521865886</v>
      </c>
      <c r="H20" s="86">
        <f t="shared" si="4"/>
        <v>1356.6653107871718</v>
      </c>
      <c r="I20" s="86">
        <f t="shared" si="5"/>
        <v>1096.56</v>
      </c>
    </row>
    <row r="21" spans="1:9" x14ac:dyDescent="0.2">
      <c r="A21" s="80">
        <f t="shared" si="6"/>
        <v>12</v>
      </c>
      <c r="B21" s="81" t="s">
        <v>253</v>
      </c>
      <c r="C21" s="82" t="s">
        <v>252</v>
      </c>
      <c r="D21" s="87">
        <v>24</v>
      </c>
      <c r="E21" s="84">
        <v>16.8</v>
      </c>
      <c r="F21" s="85">
        <f>E21*F13</f>
        <v>3.9849795918367317</v>
      </c>
      <c r="G21" s="86">
        <f t="shared" si="3"/>
        <v>20.784979591836731</v>
      </c>
      <c r="H21" s="86">
        <f t="shared" si="4"/>
        <v>498.83951020408153</v>
      </c>
      <c r="I21" s="86">
        <f t="shared" si="5"/>
        <v>403.20000000000005</v>
      </c>
    </row>
    <row r="22" spans="1:9" x14ac:dyDescent="0.2">
      <c r="A22" s="80">
        <f t="shared" si="6"/>
        <v>13</v>
      </c>
      <c r="B22" s="81" t="s">
        <v>254</v>
      </c>
      <c r="C22" s="82" t="s">
        <v>238</v>
      </c>
      <c r="D22" s="87">
        <v>300</v>
      </c>
      <c r="E22" s="84">
        <v>1.35</v>
      </c>
      <c r="F22" s="85">
        <f>E22*F13</f>
        <v>0.3202215743440231</v>
      </c>
      <c r="G22" s="86">
        <f t="shared" si="3"/>
        <v>1.6702215743440232</v>
      </c>
      <c r="H22" s="86">
        <f t="shared" si="4"/>
        <v>501.06647230320698</v>
      </c>
      <c r="I22" s="86">
        <f t="shared" si="5"/>
        <v>405</v>
      </c>
    </row>
    <row r="23" spans="1:9" x14ac:dyDescent="0.2">
      <c r="A23" s="80">
        <f t="shared" si="6"/>
        <v>14</v>
      </c>
      <c r="B23" s="81" t="s">
        <v>255</v>
      </c>
      <c r="C23" s="82" t="s">
        <v>238</v>
      </c>
      <c r="D23" s="87">
        <v>220</v>
      </c>
      <c r="E23" s="84">
        <v>1.4</v>
      </c>
      <c r="F23" s="85">
        <f>E23*F13</f>
        <v>0.3320816326530609</v>
      </c>
      <c r="G23" s="86">
        <f t="shared" si="3"/>
        <v>1.7320816326530608</v>
      </c>
      <c r="H23" s="86">
        <f t="shared" si="4"/>
        <v>381.0579591836734</v>
      </c>
      <c r="I23" s="86">
        <f t="shared" si="5"/>
        <v>308</v>
      </c>
    </row>
    <row r="24" spans="1:9" x14ac:dyDescent="0.2">
      <c r="A24" s="80">
        <f t="shared" si="6"/>
        <v>15</v>
      </c>
      <c r="B24" s="81" t="s">
        <v>256</v>
      </c>
      <c r="C24" s="82" t="s">
        <v>238</v>
      </c>
      <c r="D24" s="87">
        <v>25</v>
      </c>
      <c r="E24" s="84">
        <v>16.41</v>
      </c>
      <c r="F24" s="85">
        <f>E24*F13</f>
        <v>3.8924711370262357</v>
      </c>
      <c r="G24" s="86">
        <f t="shared" si="3"/>
        <v>20.302471137026235</v>
      </c>
      <c r="H24" s="86">
        <f t="shared" si="4"/>
        <v>507.56177842565586</v>
      </c>
      <c r="I24" s="86">
        <f t="shared" si="5"/>
        <v>410.25</v>
      </c>
    </row>
    <row r="25" spans="1:9" ht="25.5" x14ac:dyDescent="0.2">
      <c r="A25" s="80">
        <f t="shared" si="6"/>
        <v>16</v>
      </c>
      <c r="B25" s="81" t="s">
        <v>257</v>
      </c>
      <c r="C25" s="82" t="s">
        <v>238</v>
      </c>
      <c r="D25" s="87">
        <v>30</v>
      </c>
      <c r="E25" s="84">
        <v>11.01</v>
      </c>
      <c r="F25" s="85">
        <f>E25*F13</f>
        <v>2.6115848396501433</v>
      </c>
      <c r="G25" s="86">
        <f t="shared" si="3"/>
        <v>13.621584839650144</v>
      </c>
      <c r="H25" s="86">
        <f t="shared" si="4"/>
        <v>408.64754518950429</v>
      </c>
      <c r="I25" s="86">
        <f t="shared" si="5"/>
        <v>330.3</v>
      </c>
    </row>
    <row r="26" spans="1:9" ht="25.5" x14ac:dyDescent="0.2">
      <c r="A26" s="80">
        <f t="shared" si="6"/>
        <v>17</v>
      </c>
      <c r="B26" s="81" t="s">
        <v>258</v>
      </c>
      <c r="C26" s="88" t="s">
        <v>259</v>
      </c>
      <c r="D26" s="87">
        <v>4</v>
      </c>
      <c r="E26" s="84">
        <v>134.44999999999999</v>
      </c>
      <c r="F26" s="85">
        <f>E26*F13</f>
        <v>31.891696793002886</v>
      </c>
      <c r="G26" s="86">
        <f t="shared" si="3"/>
        <v>166.34169679300288</v>
      </c>
      <c r="H26" s="86">
        <f t="shared" si="4"/>
        <v>665.36678717201153</v>
      </c>
      <c r="I26" s="86">
        <f t="shared" si="5"/>
        <v>537.79999999999995</v>
      </c>
    </row>
    <row r="27" spans="1:9" x14ac:dyDescent="0.2">
      <c r="A27" s="80">
        <f t="shared" si="6"/>
        <v>18</v>
      </c>
      <c r="B27" s="81" t="s">
        <v>260</v>
      </c>
      <c r="C27" s="82" t="s">
        <v>250</v>
      </c>
      <c r="D27" s="87">
        <v>350</v>
      </c>
      <c r="E27" s="84">
        <v>4.29</v>
      </c>
      <c r="F27" s="85">
        <f>E27*F13</f>
        <v>1.017593002915451</v>
      </c>
      <c r="G27" s="86">
        <f t="shared" si="3"/>
        <v>5.3075930029154508</v>
      </c>
      <c r="H27" s="86">
        <f t="shared" si="4"/>
        <v>1857.6575510204077</v>
      </c>
      <c r="I27" s="86">
        <f t="shared" si="5"/>
        <v>1501.5</v>
      </c>
    </row>
    <row r="28" spans="1:9" x14ac:dyDescent="0.2">
      <c r="A28" s="80">
        <f t="shared" si="6"/>
        <v>19</v>
      </c>
      <c r="B28" s="81" t="s">
        <v>261</v>
      </c>
      <c r="C28" s="82" t="s">
        <v>238</v>
      </c>
      <c r="D28" s="87">
        <v>150</v>
      </c>
      <c r="E28" s="84">
        <v>6.38</v>
      </c>
      <c r="F28" s="85">
        <f>E28*F13</f>
        <v>1.5133434402332349</v>
      </c>
      <c r="G28" s="86">
        <f t="shared" si="3"/>
        <v>7.8933434402332345</v>
      </c>
      <c r="H28" s="86">
        <f t="shared" si="4"/>
        <v>1184.0015160349851</v>
      </c>
      <c r="I28" s="86">
        <f t="shared" si="5"/>
        <v>957</v>
      </c>
    </row>
    <row r="29" spans="1:9" ht="15" x14ac:dyDescent="0.25">
      <c r="A29" s="572" t="s">
        <v>129</v>
      </c>
      <c r="B29" s="573"/>
      <c r="C29" s="573"/>
      <c r="D29" s="573"/>
      <c r="E29" s="573"/>
      <c r="F29" s="573"/>
      <c r="G29" s="574"/>
      <c r="H29" s="89">
        <f>SUM(H15:H28)</f>
        <v>13162.10069854227</v>
      </c>
      <c r="I29" s="90">
        <f>SUM(I15:I28)</f>
        <v>10638.61</v>
      </c>
    </row>
    <row r="30" spans="1:9" ht="13.5" thickBot="1" x14ac:dyDescent="0.25"/>
    <row r="31" spans="1:9" ht="30.75" thickBot="1" x14ac:dyDescent="0.25">
      <c r="A31" s="575" t="s">
        <v>225</v>
      </c>
      <c r="B31" s="578" t="s">
        <v>262</v>
      </c>
      <c r="C31" s="569" t="s">
        <v>227</v>
      </c>
      <c r="D31" s="569" t="s">
        <v>127</v>
      </c>
      <c r="E31" s="569" t="s">
        <v>228</v>
      </c>
      <c r="F31" s="77" t="s">
        <v>229</v>
      </c>
      <c r="G31" s="569" t="s">
        <v>230</v>
      </c>
      <c r="H31" s="569" t="s">
        <v>231</v>
      </c>
      <c r="I31" s="569" t="s">
        <v>232</v>
      </c>
    </row>
    <row r="32" spans="1:9" ht="13.5" thickBot="1" x14ac:dyDescent="0.25">
      <c r="A32" s="576"/>
      <c r="B32" s="579"/>
      <c r="C32" s="571"/>
      <c r="D32" s="570"/>
      <c r="E32" s="570"/>
      <c r="F32" s="78">
        <f>E79</f>
        <v>0.23720116618075782</v>
      </c>
      <c r="G32" s="570"/>
      <c r="H32" s="570"/>
      <c r="I32" s="571"/>
    </row>
    <row r="33" spans="1:9" ht="13.5" thickBot="1" x14ac:dyDescent="0.25">
      <c r="A33" s="577"/>
      <c r="B33" s="580"/>
      <c r="C33" s="570"/>
      <c r="D33" s="79" t="s">
        <v>1</v>
      </c>
      <c r="E33" s="79" t="s">
        <v>2</v>
      </c>
      <c r="F33" s="79" t="s">
        <v>4</v>
      </c>
      <c r="G33" s="79" t="s">
        <v>233</v>
      </c>
      <c r="H33" s="79" t="s">
        <v>234</v>
      </c>
      <c r="I33" s="570"/>
    </row>
    <row r="34" spans="1:9" x14ac:dyDescent="0.2">
      <c r="A34" s="80">
        <v>23</v>
      </c>
      <c r="B34" s="81" t="s">
        <v>263</v>
      </c>
      <c r="C34" s="82" t="s">
        <v>238</v>
      </c>
      <c r="D34" s="83">
        <v>20</v>
      </c>
      <c r="E34" s="84">
        <v>34.270000000000003</v>
      </c>
      <c r="F34" s="85">
        <f>E34*F32</f>
        <v>8.1288839650145714</v>
      </c>
      <c r="G34" s="86">
        <f>E34+F34</f>
        <v>42.398883965014576</v>
      </c>
      <c r="H34" s="86">
        <f>G34*D34</f>
        <v>847.97767930029158</v>
      </c>
      <c r="I34" s="86">
        <f>D34*E34</f>
        <v>685.40000000000009</v>
      </c>
    </row>
    <row r="35" spans="1:9" ht="25.5" x14ac:dyDescent="0.2">
      <c r="A35" s="80">
        <f>A34+1</f>
        <v>24</v>
      </c>
      <c r="B35" s="81" t="s">
        <v>264</v>
      </c>
      <c r="C35" s="82" t="s">
        <v>238</v>
      </c>
      <c r="D35" s="83">
        <v>15</v>
      </c>
      <c r="E35" s="84">
        <v>20.5</v>
      </c>
      <c r="F35" s="85">
        <f>E35*F32</f>
        <v>4.8626239067055348</v>
      </c>
      <c r="G35" s="86">
        <f t="shared" ref="G35:G56" si="7">E35+F35</f>
        <v>25.362623906705537</v>
      </c>
      <c r="H35" s="86">
        <f t="shared" ref="H35:H56" si="8">G35*D35</f>
        <v>380.43935860058303</v>
      </c>
      <c r="I35" s="86">
        <f t="shared" ref="I35:I56" si="9">D35*E35</f>
        <v>307.5</v>
      </c>
    </row>
    <row r="36" spans="1:9" x14ac:dyDescent="0.2">
      <c r="A36" s="80">
        <f t="shared" ref="A36:A55" si="10">A35+1</f>
        <v>25</v>
      </c>
      <c r="B36" s="81" t="s">
        <v>265</v>
      </c>
      <c r="C36" s="82" t="s">
        <v>238</v>
      </c>
      <c r="D36" s="87">
        <v>200</v>
      </c>
      <c r="E36" s="84">
        <v>3.07</v>
      </c>
      <c r="F36" s="85">
        <f>E36*F32</f>
        <v>0.72820758017492648</v>
      </c>
      <c r="G36" s="86">
        <f t="shared" si="7"/>
        <v>3.7982075801749264</v>
      </c>
      <c r="H36" s="86">
        <f t="shared" si="8"/>
        <v>759.64151603498533</v>
      </c>
      <c r="I36" s="86">
        <f t="shared" si="9"/>
        <v>614</v>
      </c>
    </row>
    <row r="37" spans="1:9" x14ac:dyDescent="0.2">
      <c r="A37" s="80">
        <f t="shared" si="10"/>
        <v>26</v>
      </c>
      <c r="B37" s="81" t="s">
        <v>266</v>
      </c>
      <c r="C37" s="82" t="s">
        <v>238</v>
      </c>
      <c r="D37" s="87">
        <v>30</v>
      </c>
      <c r="E37" s="84">
        <v>30.61</v>
      </c>
      <c r="F37" s="85">
        <f>E37*F32</f>
        <v>7.2607276967929968</v>
      </c>
      <c r="G37" s="86">
        <f t="shared" si="7"/>
        <v>37.870727696792997</v>
      </c>
      <c r="H37" s="86">
        <f t="shared" si="8"/>
        <v>1136.1218309037899</v>
      </c>
      <c r="I37" s="86">
        <f t="shared" si="9"/>
        <v>918.3</v>
      </c>
    </row>
    <row r="38" spans="1:9" x14ac:dyDescent="0.2">
      <c r="A38" s="80">
        <f t="shared" si="10"/>
        <v>27</v>
      </c>
      <c r="B38" s="81" t="s">
        <v>267</v>
      </c>
      <c r="C38" s="82" t="s">
        <v>238</v>
      </c>
      <c r="D38" s="87">
        <v>30</v>
      </c>
      <c r="E38" s="84">
        <v>30.61</v>
      </c>
      <c r="F38" s="85">
        <f>E38*F32</f>
        <v>7.2607276967929968</v>
      </c>
      <c r="G38" s="86">
        <f t="shared" si="7"/>
        <v>37.870727696792997</v>
      </c>
      <c r="H38" s="86">
        <f t="shared" si="8"/>
        <v>1136.1218309037899</v>
      </c>
      <c r="I38" s="86">
        <f t="shared" si="9"/>
        <v>918.3</v>
      </c>
    </row>
    <row r="39" spans="1:9" x14ac:dyDescent="0.2">
      <c r="A39" s="80">
        <f t="shared" si="10"/>
        <v>28</v>
      </c>
      <c r="B39" s="81" t="s">
        <v>268</v>
      </c>
      <c r="C39" s="82" t="s">
        <v>238</v>
      </c>
      <c r="D39" s="87">
        <v>550</v>
      </c>
      <c r="E39" s="84">
        <v>1.1599999999999999</v>
      </c>
      <c r="F39" s="85">
        <f>E39*F32</f>
        <v>0.27515335276967906</v>
      </c>
      <c r="G39" s="86">
        <f t="shared" si="7"/>
        <v>1.4351533527696789</v>
      </c>
      <c r="H39" s="86">
        <f t="shared" si="8"/>
        <v>789.33434402332341</v>
      </c>
      <c r="I39" s="86">
        <f t="shared" si="9"/>
        <v>638</v>
      </c>
    </row>
    <row r="40" spans="1:9" x14ac:dyDescent="0.2">
      <c r="A40" s="80">
        <f t="shared" si="10"/>
        <v>29</v>
      </c>
      <c r="B40" s="81" t="s">
        <v>269</v>
      </c>
      <c r="C40" s="82" t="s">
        <v>238</v>
      </c>
      <c r="D40" s="87">
        <v>450</v>
      </c>
      <c r="E40" s="84">
        <v>1.0900000000000001</v>
      </c>
      <c r="F40" s="85">
        <f>E40*F32</f>
        <v>0.25854927113702603</v>
      </c>
      <c r="G40" s="86">
        <f t="shared" si="7"/>
        <v>1.3485492711370262</v>
      </c>
      <c r="H40" s="86">
        <f t="shared" si="8"/>
        <v>606.84717201166177</v>
      </c>
      <c r="I40" s="86">
        <f t="shared" si="9"/>
        <v>490.50000000000006</v>
      </c>
    </row>
    <row r="41" spans="1:9" x14ac:dyDescent="0.2">
      <c r="A41" s="80">
        <f t="shared" si="10"/>
        <v>30</v>
      </c>
      <c r="B41" s="81" t="s">
        <v>270</v>
      </c>
      <c r="C41" s="82" t="s">
        <v>238</v>
      </c>
      <c r="D41" s="87">
        <v>25</v>
      </c>
      <c r="E41" s="84">
        <v>17.73</v>
      </c>
      <c r="F41" s="85">
        <f>E41*F32</f>
        <v>4.2055766763848359</v>
      </c>
      <c r="G41" s="86">
        <f t="shared" si="7"/>
        <v>21.935576676384837</v>
      </c>
      <c r="H41" s="86">
        <f t="shared" si="8"/>
        <v>548.38941690962088</v>
      </c>
      <c r="I41" s="86">
        <f t="shared" si="9"/>
        <v>443.25</v>
      </c>
    </row>
    <row r="42" spans="1:9" ht="51" x14ac:dyDescent="0.2">
      <c r="A42" s="80">
        <f t="shared" si="10"/>
        <v>31</v>
      </c>
      <c r="B42" s="81" t="s">
        <v>271</v>
      </c>
      <c r="C42" s="82" t="s">
        <v>238</v>
      </c>
      <c r="D42" s="87">
        <v>5500</v>
      </c>
      <c r="E42" s="84">
        <v>1.55</v>
      </c>
      <c r="F42" s="85">
        <f>E42*F32</f>
        <v>0.36766180758017464</v>
      </c>
      <c r="G42" s="86">
        <f t="shared" si="7"/>
        <v>1.9176618075801746</v>
      </c>
      <c r="H42" s="86">
        <f t="shared" si="8"/>
        <v>10547.139941690961</v>
      </c>
      <c r="I42" s="86">
        <f t="shared" si="9"/>
        <v>8525</v>
      </c>
    </row>
    <row r="43" spans="1:9" ht="51" x14ac:dyDescent="0.2">
      <c r="A43" s="80">
        <f t="shared" si="10"/>
        <v>32</v>
      </c>
      <c r="B43" s="81" t="s">
        <v>272</v>
      </c>
      <c r="C43" s="82" t="s">
        <v>238</v>
      </c>
      <c r="D43" s="87">
        <v>1100</v>
      </c>
      <c r="E43" s="84">
        <v>1.01</v>
      </c>
      <c r="F43" s="85">
        <f>E43*F32</f>
        <v>0.2395731778425654</v>
      </c>
      <c r="G43" s="86">
        <f t="shared" si="7"/>
        <v>1.2495731778425654</v>
      </c>
      <c r="H43" s="86">
        <f t="shared" si="8"/>
        <v>1374.5304956268219</v>
      </c>
      <c r="I43" s="86">
        <f t="shared" si="9"/>
        <v>1111</v>
      </c>
    </row>
    <row r="44" spans="1:9" ht="38.25" x14ac:dyDescent="0.2">
      <c r="A44" s="80">
        <f t="shared" si="10"/>
        <v>33</v>
      </c>
      <c r="B44" s="81" t="s">
        <v>273</v>
      </c>
      <c r="C44" s="82" t="s">
        <v>238</v>
      </c>
      <c r="D44" s="87">
        <v>125</v>
      </c>
      <c r="E44" s="84">
        <v>3.76</v>
      </c>
      <c r="F44" s="85">
        <f>E44*F32</f>
        <v>0.89187638483964937</v>
      </c>
      <c r="G44" s="86">
        <f t="shared" si="7"/>
        <v>4.6518763848396496</v>
      </c>
      <c r="H44" s="86">
        <f t="shared" si="8"/>
        <v>581.48454810495616</v>
      </c>
      <c r="I44" s="86">
        <f t="shared" si="9"/>
        <v>470</v>
      </c>
    </row>
    <row r="45" spans="1:9" ht="25.5" x14ac:dyDescent="0.2">
      <c r="A45" s="80">
        <f t="shared" si="10"/>
        <v>34</v>
      </c>
      <c r="B45" s="81" t="s">
        <v>274</v>
      </c>
      <c r="C45" s="82" t="s">
        <v>238</v>
      </c>
      <c r="D45" s="87">
        <v>200</v>
      </c>
      <c r="E45" s="84">
        <v>0.33</v>
      </c>
      <c r="F45" s="85">
        <f>E45*F32</f>
        <v>7.827638483965009E-2</v>
      </c>
      <c r="G45" s="86">
        <f t="shared" si="7"/>
        <v>0.40827638483965012</v>
      </c>
      <c r="H45" s="86">
        <f t="shared" si="8"/>
        <v>81.655276967930021</v>
      </c>
      <c r="I45" s="86">
        <f t="shared" si="9"/>
        <v>66</v>
      </c>
    </row>
    <row r="46" spans="1:9" ht="25.5" x14ac:dyDescent="0.2">
      <c r="A46" s="80">
        <f t="shared" si="10"/>
        <v>35</v>
      </c>
      <c r="B46" s="81" t="s">
        <v>275</v>
      </c>
      <c r="C46" s="82" t="s">
        <v>238</v>
      </c>
      <c r="D46" s="87">
        <v>100</v>
      </c>
      <c r="E46" s="84">
        <v>0.43</v>
      </c>
      <c r="F46" s="85">
        <f>E46*F32</f>
        <v>0.10199650145772586</v>
      </c>
      <c r="G46" s="86">
        <f t="shared" si="7"/>
        <v>0.53199650145772581</v>
      </c>
      <c r="H46" s="86">
        <f t="shared" si="8"/>
        <v>53.19965014577258</v>
      </c>
      <c r="I46" s="86">
        <f t="shared" si="9"/>
        <v>43</v>
      </c>
    </row>
    <row r="47" spans="1:9" ht="63.75" x14ac:dyDescent="0.2">
      <c r="A47" s="80">
        <f t="shared" si="10"/>
        <v>36</v>
      </c>
      <c r="B47" s="81" t="s">
        <v>276</v>
      </c>
      <c r="C47" s="82" t="s">
        <v>238</v>
      </c>
      <c r="D47" s="87">
        <v>100</v>
      </c>
      <c r="E47" s="84">
        <v>40.68</v>
      </c>
      <c r="F47" s="85">
        <f>E47*F32</f>
        <v>9.6493434402332277</v>
      </c>
      <c r="G47" s="86">
        <f t="shared" si="7"/>
        <v>50.329343440233231</v>
      </c>
      <c r="H47" s="86">
        <f t="shared" si="8"/>
        <v>5032.9343440233233</v>
      </c>
      <c r="I47" s="86">
        <f t="shared" si="9"/>
        <v>4068</v>
      </c>
    </row>
    <row r="48" spans="1:9" ht="51" x14ac:dyDescent="0.2">
      <c r="A48" s="80">
        <f t="shared" si="10"/>
        <v>37</v>
      </c>
      <c r="B48" s="81" t="s">
        <v>277</v>
      </c>
      <c r="C48" s="82" t="s">
        <v>238</v>
      </c>
      <c r="D48" s="87">
        <v>80</v>
      </c>
      <c r="E48" s="84">
        <v>152.63</v>
      </c>
      <c r="F48" s="85">
        <f>E48*F32</f>
        <v>36.204013994169067</v>
      </c>
      <c r="G48" s="86">
        <f t="shared" si="7"/>
        <v>188.83401399416906</v>
      </c>
      <c r="H48" s="86">
        <f t="shared" si="8"/>
        <v>15106.721119533524</v>
      </c>
      <c r="I48" s="86">
        <f t="shared" si="9"/>
        <v>12210.4</v>
      </c>
    </row>
    <row r="49" spans="1:9" ht="47.25" customHeight="1" x14ac:dyDescent="0.2">
      <c r="A49" s="80">
        <f t="shared" si="10"/>
        <v>38</v>
      </c>
      <c r="B49" s="81" t="s">
        <v>278</v>
      </c>
      <c r="C49" s="82" t="s">
        <v>238</v>
      </c>
      <c r="D49" s="87">
        <v>40</v>
      </c>
      <c r="E49" s="84">
        <v>86.63</v>
      </c>
      <c r="F49" s="85">
        <f>E49*F32</f>
        <v>20.548737026239049</v>
      </c>
      <c r="G49" s="86">
        <f t="shared" si="7"/>
        <v>107.17873702623905</v>
      </c>
      <c r="H49" s="86">
        <f t="shared" si="8"/>
        <v>4287.1494810495624</v>
      </c>
      <c r="I49" s="86">
        <f t="shared" si="9"/>
        <v>3465.2</v>
      </c>
    </row>
    <row r="50" spans="1:9" x14ac:dyDescent="0.2">
      <c r="A50" s="80">
        <f t="shared" si="10"/>
        <v>39</v>
      </c>
      <c r="B50" s="81" t="s">
        <v>279</v>
      </c>
      <c r="C50" s="82" t="s">
        <v>238</v>
      </c>
      <c r="D50" s="87">
        <v>70</v>
      </c>
      <c r="E50" s="84">
        <v>46.14</v>
      </c>
      <c r="F50" s="85">
        <f>E50*F32</f>
        <v>10.944461807580165</v>
      </c>
      <c r="G50" s="86">
        <f t="shared" si="7"/>
        <v>57.084461807580169</v>
      </c>
      <c r="H50" s="86">
        <f t="shared" si="8"/>
        <v>3995.9123265306116</v>
      </c>
      <c r="I50" s="86">
        <f t="shared" si="9"/>
        <v>3229.8</v>
      </c>
    </row>
    <row r="51" spans="1:9" x14ac:dyDescent="0.2">
      <c r="A51" s="80">
        <f t="shared" si="10"/>
        <v>40</v>
      </c>
      <c r="B51" s="81" t="s">
        <v>280</v>
      </c>
      <c r="C51" s="82" t="s">
        <v>238</v>
      </c>
      <c r="D51" s="87">
        <v>30</v>
      </c>
      <c r="E51" s="84">
        <v>21.16</v>
      </c>
      <c r="F51" s="85">
        <f>E51*F32</f>
        <v>5.0191766763848351</v>
      </c>
      <c r="G51" s="86">
        <f t="shared" si="7"/>
        <v>26.179176676384834</v>
      </c>
      <c r="H51" s="86">
        <f t="shared" si="8"/>
        <v>785.37530029154505</v>
      </c>
      <c r="I51" s="86">
        <f t="shared" si="9"/>
        <v>634.79999999999995</v>
      </c>
    </row>
    <row r="52" spans="1:9" x14ac:dyDescent="0.2">
      <c r="A52" s="80">
        <f t="shared" si="10"/>
        <v>41</v>
      </c>
      <c r="B52" s="81" t="s">
        <v>281</v>
      </c>
      <c r="C52" s="82" t="s">
        <v>238</v>
      </c>
      <c r="D52" s="87">
        <v>20</v>
      </c>
      <c r="E52" s="84">
        <v>49.83</v>
      </c>
      <c r="F52" s="85">
        <f>E52*F32</f>
        <v>11.819734110787161</v>
      </c>
      <c r="G52" s="86">
        <f t="shared" si="7"/>
        <v>61.649734110787158</v>
      </c>
      <c r="H52" s="86">
        <f t="shared" si="8"/>
        <v>1232.9946822157431</v>
      </c>
      <c r="I52" s="86">
        <f t="shared" si="9"/>
        <v>996.59999999999991</v>
      </c>
    </row>
    <row r="53" spans="1:9" x14ac:dyDescent="0.2">
      <c r="A53" s="80">
        <f t="shared" si="10"/>
        <v>42</v>
      </c>
      <c r="B53" s="81" t="s">
        <v>282</v>
      </c>
      <c r="C53" s="82" t="s">
        <v>238</v>
      </c>
      <c r="D53" s="87">
        <v>20</v>
      </c>
      <c r="E53" s="84">
        <v>16.420000000000002</v>
      </c>
      <c r="F53" s="85">
        <f>E53*F32</f>
        <v>3.8948431486880439</v>
      </c>
      <c r="G53" s="86">
        <f t="shared" si="7"/>
        <v>20.314843148688045</v>
      </c>
      <c r="H53" s="86">
        <f t="shared" si="8"/>
        <v>406.29686297376088</v>
      </c>
      <c r="I53" s="86">
        <f t="shared" si="9"/>
        <v>328.40000000000003</v>
      </c>
    </row>
    <row r="54" spans="1:9" x14ac:dyDescent="0.2">
      <c r="A54" s="80">
        <f t="shared" si="10"/>
        <v>43</v>
      </c>
      <c r="B54" s="81" t="s">
        <v>283</v>
      </c>
      <c r="C54" s="82" t="s">
        <v>238</v>
      </c>
      <c r="D54" s="87">
        <v>300</v>
      </c>
      <c r="E54" s="84">
        <v>3.99</v>
      </c>
      <c r="F54" s="85">
        <f>E54*F32</f>
        <v>0.94643265306122371</v>
      </c>
      <c r="G54" s="86">
        <f t="shared" si="7"/>
        <v>4.9364326530612237</v>
      </c>
      <c r="H54" s="86">
        <f t="shared" si="8"/>
        <v>1480.9297959183671</v>
      </c>
      <c r="I54" s="86">
        <f t="shared" si="9"/>
        <v>1197</v>
      </c>
    </row>
    <row r="55" spans="1:9" ht="25.5" x14ac:dyDescent="0.2">
      <c r="A55" s="80">
        <f t="shared" si="10"/>
        <v>44</v>
      </c>
      <c r="B55" s="81" t="s">
        <v>284</v>
      </c>
      <c r="C55" s="82" t="s">
        <v>238</v>
      </c>
      <c r="D55" s="87">
        <v>600</v>
      </c>
      <c r="E55" s="84">
        <v>8.4</v>
      </c>
      <c r="F55" s="85">
        <f>E55*F32</f>
        <v>1.9924897959183658</v>
      </c>
      <c r="G55" s="86">
        <f t="shared" si="7"/>
        <v>10.392489795918365</v>
      </c>
      <c r="H55" s="86">
        <f t="shared" si="8"/>
        <v>6235.4938775510191</v>
      </c>
      <c r="I55" s="86">
        <f t="shared" si="9"/>
        <v>5040</v>
      </c>
    </row>
    <row r="56" spans="1:9" ht="25.5" x14ac:dyDescent="0.2">
      <c r="A56" s="91">
        <v>45</v>
      </c>
      <c r="B56" s="92" t="s">
        <v>285</v>
      </c>
      <c r="C56" s="38" t="s">
        <v>238</v>
      </c>
      <c r="D56" s="93">
        <v>500</v>
      </c>
      <c r="E56" s="67">
        <v>7.4</v>
      </c>
      <c r="F56" s="85">
        <f>E56*F32</f>
        <v>1.755288629737608</v>
      </c>
      <c r="G56" s="86">
        <f t="shared" si="7"/>
        <v>9.1552886297376084</v>
      </c>
      <c r="H56" s="86">
        <f t="shared" si="8"/>
        <v>4577.644314868804</v>
      </c>
      <c r="I56" s="86">
        <f t="shared" si="9"/>
        <v>3700</v>
      </c>
    </row>
    <row r="57" spans="1:9" ht="15" x14ac:dyDescent="0.25">
      <c r="A57" s="572" t="s">
        <v>129</v>
      </c>
      <c r="B57" s="573"/>
      <c r="C57" s="573"/>
      <c r="D57" s="573"/>
      <c r="E57" s="573"/>
      <c r="F57" s="573"/>
      <c r="G57" s="574"/>
      <c r="H57" s="89">
        <f>SUM(H34:H56)</f>
        <v>61984.335166180746</v>
      </c>
      <c r="I57" s="90">
        <f>SUM(I34:I56)</f>
        <v>50100.450000000004</v>
      </c>
    </row>
    <row r="60" spans="1:9" ht="15" x14ac:dyDescent="0.25">
      <c r="G60" s="94" t="s">
        <v>286</v>
      </c>
      <c r="H60" s="95">
        <f>SUM(H10+H29+H57)</f>
        <v>313750.82581224485</v>
      </c>
      <c r="I60" s="95">
        <f>SUM(I10+I29+I57)</f>
        <v>253597.26</v>
      </c>
    </row>
    <row r="62" spans="1:9" ht="31.5" customHeight="1" x14ac:dyDescent="0.25">
      <c r="A62" s="581" t="s">
        <v>287</v>
      </c>
      <c r="B62" s="581"/>
      <c r="C62" s="581"/>
      <c r="D62" s="582" t="s">
        <v>288</v>
      </c>
      <c r="E62" s="583"/>
      <c r="F62" s="583"/>
      <c r="G62" s="583"/>
      <c r="H62" s="584"/>
    </row>
    <row r="63" spans="1:9" ht="15" x14ac:dyDescent="0.25">
      <c r="A63" s="96" t="s">
        <v>289</v>
      </c>
      <c r="B63" s="96" t="s">
        <v>126</v>
      </c>
      <c r="C63" s="96" t="s">
        <v>208</v>
      </c>
      <c r="D63" s="96" t="s">
        <v>289</v>
      </c>
      <c r="E63" s="581" t="s">
        <v>126</v>
      </c>
      <c r="F63" s="581"/>
      <c r="G63" s="581"/>
      <c r="H63" s="96" t="s">
        <v>208</v>
      </c>
    </row>
    <row r="64" spans="1:9" x14ac:dyDescent="0.2">
      <c r="A64" s="66">
        <v>1</v>
      </c>
      <c r="B64" s="66" t="s">
        <v>226</v>
      </c>
      <c r="C64" s="39">
        <f>H10</f>
        <v>238604.38994752182</v>
      </c>
      <c r="D64" s="97"/>
      <c r="E64" s="559" t="s">
        <v>226</v>
      </c>
      <c r="F64" s="560"/>
      <c r="G64" s="561"/>
      <c r="H64" s="39">
        <f>I10</f>
        <v>192858.2</v>
      </c>
    </row>
    <row r="65" spans="1:8" x14ac:dyDescent="0.2">
      <c r="A65" s="66"/>
      <c r="B65" s="66" t="s">
        <v>290</v>
      </c>
      <c r="C65" s="39">
        <f>H29</f>
        <v>13162.10069854227</v>
      </c>
      <c r="D65" s="97"/>
      <c r="E65" s="559" t="s">
        <v>290</v>
      </c>
      <c r="F65" s="560"/>
      <c r="G65" s="561"/>
      <c r="H65" s="39">
        <f>I29</f>
        <v>10638.61</v>
      </c>
    </row>
    <row r="66" spans="1:8" x14ac:dyDescent="0.2">
      <c r="A66" s="66">
        <v>1</v>
      </c>
      <c r="B66" s="66" t="s">
        <v>262</v>
      </c>
      <c r="C66" s="39">
        <f>H57</f>
        <v>61984.335166180746</v>
      </c>
      <c r="D66" s="97"/>
      <c r="E66" s="559" t="s">
        <v>262</v>
      </c>
      <c r="F66" s="560"/>
      <c r="G66" s="561"/>
      <c r="H66" s="39">
        <f>I57</f>
        <v>50100.450000000004</v>
      </c>
    </row>
    <row r="67" spans="1:8" ht="15" x14ac:dyDescent="0.25">
      <c r="A67" s="562" t="s">
        <v>291</v>
      </c>
      <c r="B67" s="562"/>
      <c r="C67" s="98">
        <f>SUM(C64:C66)</f>
        <v>313750.82581224485</v>
      </c>
      <c r="D67" s="563" t="s">
        <v>291</v>
      </c>
      <c r="E67" s="564"/>
      <c r="F67" s="564"/>
      <c r="G67" s="565"/>
      <c r="H67" s="98">
        <f>SUM(H64:H66)</f>
        <v>253597.26</v>
      </c>
    </row>
    <row r="68" spans="1:8" ht="15" x14ac:dyDescent="0.25">
      <c r="A68" s="562" t="s">
        <v>292</v>
      </c>
      <c r="B68" s="562"/>
      <c r="C68" s="98">
        <f>C67/12</f>
        <v>26145.902151020404</v>
      </c>
      <c r="D68" s="563" t="s">
        <v>292</v>
      </c>
      <c r="E68" s="564"/>
      <c r="F68" s="564"/>
      <c r="G68" s="565"/>
      <c r="H68" s="98">
        <f>H67/12</f>
        <v>21133.105</v>
      </c>
    </row>
    <row r="70" spans="1:8" ht="13.5" thickBot="1" x14ac:dyDescent="0.25"/>
    <row r="71" spans="1:8" ht="15.75" thickBot="1" x14ac:dyDescent="0.3">
      <c r="A71" s="566" t="s">
        <v>293</v>
      </c>
      <c r="B71" s="566"/>
      <c r="C71" s="566"/>
      <c r="D71" s="566"/>
      <c r="E71" s="566"/>
      <c r="F71" s="566"/>
    </row>
    <row r="72" spans="1:8" ht="15.75" thickBot="1" x14ac:dyDescent="0.3">
      <c r="A72" s="567" t="s">
        <v>294</v>
      </c>
      <c r="B72" s="567"/>
      <c r="C72" s="567"/>
      <c r="D72" s="567"/>
      <c r="E72" s="568" t="s">
        <v>18</v>
      </c>
      <c r="F72" s="568"/>
    </row>
    <row r="73" spans="1:8" ht="15.75" thickBot="1" x14ac:dyDescent="0.3">
      <c r="A73" s="556" t="s">
        <v>295</v>
      </c>
      <c r="B73" s="556"/>
      <c r="C73" s="556"/>
      <c r="D73" s="556"/>
      <c r="E73" s="557">
        <v>0.03</v>
      </c>
      <c r="F73" s="557"/>
    </row>
    <row r="74" spans="1:8" ht="15.75" thickBot="1" x14ac:dyDescent="0.3">
      <c r="A74" s="556" t="s">
        <v>296</v>
      </c>
      <c r="B74" s="556"/>
      <c r="C74" s="556"/>
      <c r="D74" s="556"/>
      <c r="E74" s="557">
        <v>0.03</v>
      </c>
      <c r="F74" s="557"/>
    </row>
    <row r="75" spans="1:8" ht="15.75" thickBot="1" x14ac:dyDescent="0.3">
      <c r="A75" s="556" t="s">
        <v>297</v>
      </c>
      <c r="B75" s="556"/>
      <c r="C75" s="556"/>
      <c r="D75" s="556"/>
      <c r="E75" s="557">
        <v>0.14249999999999999</v>
      </c>
      <c r="F75" s="557"/>
    </row>
    <row r="76" spans="1:8" ht="15.75" thickBot="1" x14ac:dyDescent="0.3">
      <c r="A76" s="556" t="s">
        <v>104</v>
      </c>
      <c r="B76" s="556"/>
      <c r="C76" s="556"/>
      <c r="D76" s="556"/>
      <c r="E76" s="557">
        <v>0.05</v>
      </c>
      <c r="F76" s="557"/>
    </row>
    <row r="77" spans="1:8" ht="15.75" thickBot="1" x14ac:dyDescent="0.3">
      <c r="A77" s="556" t="s">
        <v>102</v>
      </c>
      <c r="B77" s="556"/>
      <c r="C77" s="556"/>
      <c r="D77" s="556"/>
      <c r="E77" s="557">
        <v>7.5999999999999998E-2</v>
      </c>
      <c r="F77" s="557"/>
    </row>
    <row r="78" spans="1:8" ht="15.75" thickBot="1" x14ac:dyDescent="0.3">
      <c r="A78" s="556" t="s">
        <v>100</v>
      </c>
      <c r="B78" s="556"/>
      <c r="C78" s="556"/>
      <c r="D78" s="556"/>
      <c r="E78" s="557">
        <v>1.6500000000000001E-2</v>
      </c>
      <c r="F78" s="557"/>
    </row>
    <row r="79" spans="1:8" ht="15.75" thickBot="1" x14ac:dyDescent="0.3">
      <c r="A79" s="556" t="s">
        <v>117</v>
      </c>
      <c r="B79" s="556"/>
      <c r="C79" s="556"/>
      <c r="D79" s="556"/>
      <c r="E79" s="558">
        <f>((((1+(E73))*((1+E74))/((1-E75))-1)))</f>
        <v>0.23720116618075782</v>
      </c>
      <c r="F79" s="558"/>
    </row>
  </sheetData>
  <mergeCells count="55">
    <mergeCell ref="A1:I1"/>
    <mergeCell ref="A2:A4"/>
    <mergeCell ref="B2:B4"/>
    <mergeCell ref="C2:C4"/>
    <mergeCell ref="D2:D3"/>
    <mergeCell ref="E2:E3"/>
    <mergeCell ref="G2:G3"/>
    <mergeCell ref="H2:H3"/>
    <mergeCell ref="I2:I4"/>
    <mergeCell ref="A10:G10"/>
    <mergeCell ref="A12:A14"/>
    <mergeCell ref="B12:B14"/>
    <mergeCell ref="C12:C14"/>
    <mergeCell ref="D12:D13"/>
    <mergeCell ref="E12:E13"/>
    <mergeCell ref="G12:G13"/>
    <mergeCell ref="E64:G64"/>
    <mergeCell ref="H12:H13"/>
    <mergeCell ref="I12:I14"/>
    <mergeCell ref="A29:G29"/>
    <mergeCell ref="A31:A33"/>
    <mergeCell ref="B31:B33"/>
    <mergeCell ref="C31:C33"/>
    <mergeCell ref="D31:D32"/>
    <mergeCell ref="E31:E32"/>
    <mergeCell ref="G31:G32"/>
    <mergeCell ref="H31:H32"/>
    <mergeCell ref="I31:I33"/>
    <mergeCell ref="A57:G57"/>
    <mergeCell ref="A62:C62"/>
    <mergeCell ref="D62:H62"/>
    <mergeCell ref="E63:G63"/>
    <mergeCell ref="A74:D74"/>
    <mergeCell ref="E74:F74"/>
    <mergeCell ref="E65:G65"/>
    <mergeCell ref="E66:G66"/>
    <mergeCell ref="A67:B67"/>
    <mergeCell ref="D67:G67"/>
    <mergeCell ref="A68:B68"/>
    <mergeCell ref="D68:G68"/>
    <mergeCell ref="A71:F71"/>
    <mergeCell ref="A72:D72"/>
    <mergeCell ref="E72:F72"/>
    <mergeCell ref="A73:D73"/>
    <mergeCell ref="E73:F73"/>
    <mergeCell ref="A78:D78"/>
    <mergeCell ref="E78:F78"/>
    <mergeCell ref="A79:D79"/>
    <mergeCell ref="E79:F79"/>
    <mergeCell ref="A75:D75"/>
    <mergeCell ref="E75:F75"/>
    <mergeCell ref="A76:D76"/>
    <mergeCell ref="E76:F76"/>
    <mergeCell ref="A77:D77"/>
    <mergeCell ref="E77:F77"/>
  </mergeCells>
  <pageMargins left="0.511811024" right="0.511811024" top="0.78740157499999996" bottom="0.78740157499999996" header="0.31496062000000002" footer="0.31496062000000002"/>
  <pageSetup paperSize="9" scale="4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view="pageBreakPreview" zoomScaleNormal="100" zoomScaleSheetLayoutView="100" workbookViewId="0">
      <selection activeCell="B14" sqref="B14"/>
    </sheetView>
  </sheetViews>
  <sheetFormatPr defaultRowHeight="12.75" x14ac:dyDescent="0.2"/>
  <cols>
    <col min="1" max="1" width="6" style="99" customWidth="1"/>
    <col min="2" max="2" width="67.140625" style="99" customWidth="1"/>
    <col min="3" max="3" width="8.140625" style="99" customWidth="1"/>
    <col min="4" max="4" width="12.140625" style="99" customWidth="1"/>
    <col min="5" max="5" width="16.7109375" style="99" customWidth="1"/>
    <col min="6" max="6" width="14.85546875" style="99" customWidth="1"/>
    <col min="7" max="7" width="16.140625" style="99" customWidth="1"/>
    <col min="8" max="8" width="14.7109375" style="99" customWidth="1"/>
    <col min="9" max="9" width="10.5703125" style="99" bestFit="1" customWidth="1"/>
    <col min="10" max="16384" width="9.140625" style="99"/>
  </cols>
  <sheetData>
    <row r="1" spans="1:9" ht="13.5" thickBot="1" x14ac:dyDescent="0.25">
      <c r="A1" s="590" t="s">
        <v>224</v>
      </c>
      <c r="B1" s="591"/>
      <c r="C1" s="591"/>
      <c r="D1" s="591"/>
      <c r="E1" s="591"/>
      <c r="F1" s="591"/>
      <c r="G1" s="591"/>
      <c r="H1" s="592"/>
    </row>
    <row r="2" spans="1:9" x14ac:dyDescent="0.2">
      <c r="A2" s="575" t="s">
        <v>225</v>
      </c>
      <c r="B2" s="578" t="s">
        <v>126</v>
      </c>
      <c r="C2" s="569" t="s">
        <v>298</v>
      </c>
      <c r="D2" s="569" t="s">
        <v>299</v>
      </c>
      <c r="E2" s="569" t="s">
        <v>300</v>
      </c>
      <c r="F2" s="569" t="s">
        <v>301</v>
      </c>
      <c r="G2" s="569" t="s">
        <v>302</v>
      </c>
      <c r="H2" s="569" t="s">
        <v>303</v>
      </c>
    </row>
    <row r="3" spans="1:9" ht="13.5" thickBot="1" x14ac:dyDescent="0.25">
      <c r="A3" s="576"/>
      <c r="B3" s="579"/>
      <c r="C3" s="570"/>
      <c r="D3" s="570"/>
      <c r="E3" s="570"/>
      <c r="F3" s="570"/>
      <c r="G3" s="570"/>
      <c r="H3" s="570"/>
    </row>
    <row r="4" spans="1:9" ht="15.75" thickBot="1" x14ac:dyDescent="0.25">
      <c r="A4" s="577"/>
      <c r="B4" s="580"/>
      <c r="C4" s="100" t="s">
        <v>1</v>
      </c>
      <c r="D4" s="100" t="s">
        <v>2</v>
      </c>
      <c r="E4" s="100" t="s">
        <v>304</v>
      </c>
      <c r="F4" s="100" t="s">
        <v>6</v>
      </c>
      <c r="G4" s="100" t="s">
        <v>23</v>
      </c>
      <c r="H4" s="101" t="s">
        <v>305</v>
      </c>
    </row>
    <row r="5" spans="1:9" ht="25.5" x14ac:dyDescent="0.2">
      <c r="A5" s="82">
        <v>1</v>
      </c>
      <c r="B5" s="102" t="s">
        <v>306</v>
      </c>
      <c r="C5" s="103">
        <v>20</v>
      </c>
      <c r="D5" s="104">
        <v>579.85</v>
      </c>
      <c r="E5" s="105">
        <f>C5*D5</f>
        <v>11597</v>
      </c>
      <c r="F5" s="106">
        <v>0.1</v>
      </c>
      <c r="G5" s="107">
        <v>120</v>
      </c>
      <c r="H5" s="108">
        <f>E5*F5/G5</f>
        <v>9.6641666666666666</v>
      </c>
      <c r="I5" s="109"/>
    </row>
    <row r="6" spans="1:9" ht="51" x14ac:dyDescent="0.2">
      <c r="A6" s="82">
        <v>2</v>
      </c>
      <c r="B6" s="102" t="s">
        <v>307</v>
      </c>
      <c r="C6" s="103">
        <v>2</v>
      </c>
      <c r="D6" s="104">
        <v>523.4</v>
      </c>
      <c r="E6" s="105">
        <f t="shared" ref="E6:E8" si="0">C6*D6</f>
        <v>1046.8</v>
      </c>
      <c r="F6" s="106">
        <v>0.1</v>
      </c>
      <c r="G6" s="107">
        <v>120</v>
      </c>
      <c r="H6" s="108">
        <f t="shared" ref="H6:H8" si="1">E6*F6/G6</f>
        <v>0.8723333333333334</v>
      </c>
    </row>
    <row r="7" spans="1:9" ht="51" x14ac:dyDescent="0.2">
      <c r="A7" s="82">
        <v>3</v>
      </c>
      <c r="B7" s="102" t="s">
        <v>308</v>
      </c>
      <c r="C7" s="110">
        <v>2</v>
      </c>
      <c r="D7" s="104">
        <v>199.27</v>
      </c>
      <c r="E7" s="105">
        <f t="shared" si="0"/>
        <v>398.54</v>
      </c>
      <c r="F7" s="106">
        <v>0.1</v>
      </c>
      <c r="G7" s="107">
        <v>120</v>
      </c>
      <c r="H7" s="108">
        <f t="shared" si="1"/>
        <v>0.33211666666666673</v>
      </c>
    </row>
    <row r="8" spans="1:9" ht="64.5" thickBot="1" x14ac:dyDescent="0.25">
      <c r="A8" s="82">
        <v>4</v>
      </c>
      <c r="B8" s="102" t="s">
        <v>309</v>
      </c>
      <c r="C8" s="103">
        <v>7</v>
      </c>
      <c r="D8" s="111">
        <v>3435.77</v>
      </c>
      <c r="E8" s="112">
        <f t="shared" si="0"/>
        <v>24050.39</v>
      </c>
      <c r="F8" s="113">
        <v>0.1</v>
      </c>
      <c r="G8" s="114">
        <v>120</v>
      </c>
      <c r="H8" s="108">
        <f t="shared" si="1"/>
        <v>20.041991666666668</v>
      </c>
    </row>
    <row r="9" spans="1:9" ht="15.75" thickBot="1" x14ac:dyDescent="0.25">
      <c r="A9" s="588" t="s">
        <v>208</v>
      </c>
      <c r="B9" s="589"/>
      <c r="C9" s="115"/>
      <c r="D9" s="116">
        <f>SUM(D5:D8)</f>
        <v>4738.29</v>
      </c>
      <c r="E9" s="116">
        <f>SUM(E5:E8)</f>
        <v>37092.729999999996</v>
      </c>
      <c r="F9" s="117"/>
      <c r="G9" s="116" t="s">
        <v>92</v>
      </c>
      <c r="H9" s="118">
        <f>SUM(H5:H8)</f>
        <v>30.910608333333336</v>
      </c>
    </row>
    <row r="10" spans="1:9" ht="13.5" thickBot="1" x14ac:dyDescent="0.25">
      <c r="A10" s="590" t="s">
        <v>310</v>
      </c>
      <c r="B10" s="591"/>
      <c r="C10" s="591"/>
      <c r="D10" s="591"/>
      <c r="E10" s="591"/>
      <c r="F10" s="591"/>
      <c r="G10" s="592"/>
      <c r="H10" s="119">
        <f>H9/35</f>
        <v>0.88316023809523814</v>
      </c>
    </row>
    <row r="12" spans="1:9" ht="15" x14ac:dyDescent="0.2">
      <c r="H12" s="120"/>
    </row>
  </sheetData>
  <mergeCells count="11">
    <mergeCell ref="A9:B9"/>
    <mergeCell ref="A10:G10"/>
    <mergeCell ref="A1:H1"/>
    <mergeCell ref="A2:A4"/>
    <mergeCell ref="B2:B4"/>
    <mergeCell ref="C2:C3"/>
    <mergeCell ref="D2:D3"/>
    <mergeCell ref="E2:E3"/>
    <mergeCell ref="F2:F3"/>
    <mergeCell ref="G2:G3"/>
    <mergeCell ref="H2:H3"/>
  </mergeCells>
  <pageMargins left="0.511811024" right="0.511811024" top="0.78740157499999996" bottom="0.78740157499999996" header="0.31496062000000002" footer="0.31496062000000002"/>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3"/>
  <sheetViews>
    <sheetView view="pageBreakPreview" zoomScale="120" zoomScaleNormal="130" zoomScaleSheetLayoutView="120" workbookViewId="0">
      <selection activeCell="L7" sqref="L7"/>
    </sheetView>
  </sheetViews>
  <sheetFormatPr defaultRowHeight="12.75" x14ac:dyDescent="0.2"/>
  <cols>
    <col min="1" max="1" width="26.140625" style="180" customWidth="1"/>
    <col min="2" max="3" width="9.140625" style="180"/>
    <col min="4" max="4" width="20" style="180" customWidth="1"/>
    <col min="5" max="5" width="18.7109375" style="180" customWidth="1"/>
    <col min="6" max="6" width="13.5703125" style="180" bestFit="1" customWidth="1"/>
    <col min="7" max="7" width="19.140625" style="180" customWidth="1"/>
    <col min="8" max="254" width="9.140625" style="180"/>
    <col min="255" max="255" width="15" style="180" customWidth="1"/>
    <col min="256" max="257" width="9.140625" style="180"/>
    <col min="258" max="258" width="20.85546875" style="180" bestFit="1" customWidth="1"/>
    <col min="259" max="259" width="25" style="180" bestFit="1" customWidth="1"/>
    <col min="260" max="260" width="26.28515625" style="180" bestFit="1" customWidth="1"/>
    <col min="261" max="510" width="9.140625" style="180"/>
    <col min="511" max="511" width="15" style="180" customWidth="1"/>
    <col min="512" max="513" width="9.140625" style="180"/>
    <col min="514" max="514" width="20.85546875" style="180" bestFit="1" customWidth="1"/>
    <col min="515" max="515" width="25" style="180" bestFit="1" customWidth="1"/>
    <col min="516" max="516" width="26.28515625" style="180" bestFit="1" customWidth="1"/>
    <col min="517" max="766" width="9.140625" style="180"/>
    <col min="767" max="767" width="15" style="180" customWidth="1"/>
    <col min="768" max="769" width="9.140625" style="180"/>
    <col min="770" max="770" width="20.85546875" style="180" bestFit="1" customWidth="1"/>
    <col min="771" max="771" width="25" style="180" bestFit="1" customWidth="1"/>
    <col min="772" max="772" width="26.28515625" style="180" bestFit="1" customWidth="1"/>
    <col min="773" max="1022" width="9.140625" style="180"/>
    <col min="1023" max="1023" width="15" style="180" customWidth="1"/>
    <col min="1024" max="1025" width="9.140625" style="180"/>
    <col min="1026" max="1026" width="20.85546875" style="180" bestFit="1" customWidth="1"/>
    <col min="1027" max="1027" width="25" style="180" bestFit="1" customWidth="1"/>
    <col min="1028" max="1028" width="26.28515625" style="180" bestFit="1" customWidth="1"/>
    <col min="1029" max="1278" width="9.140625" style="180"/>
    <col min="1279" max="1279" width="15" style="180" customWidth="1"/>
    <col min="1280" max="1281" width="9.140625" style="180"/>
    <col min="1282" max="1282" width="20.85546875" style="180" bestFit="1" customWidth="1"/>
    <col min="1283" max="1283" width="25" style="180" bestFit="1" customWidth="1"/>
    <col min="1284" max="1284" width="26.28515625" style="180" bestFit="1" customWidth="1"/>
    <col min="1285" max="1534" width="9.140625" style="180"/>
    <col min="1535" max="1535" width="15" style="180" customWidth="1"/>
    <col min="1536" max="1537" width="9.140625" style="180"/>
    <col min="1538" max="1538" width="20.85546875" style="180" bestFit="1" customWidth="1"/>
    <col min="1539" max="1539" width="25" style="180" bestFit="1" customWidth="1"/>
    <col min="1540" max="1540" width="26.28515625" style="180" bestFit="1" customWidth="1"/>
    <col min="1541" max="1790" width="9.140625" style="180"/>
    <col min="1791" max="1791" width="15" style="180" customWidth="1"/>
    <col min="1792" max="1793" width="9.140625" style="180"/>
    <col min="1794" max="1794" width="20.85546875" style="180" bestFit="1" customWidth="1"/>
    <col min="1795" max="1795" width="25" style="180" bestFit="1" customWidth="1"/>
    <col min="1796" max="1796" width="26.28515625" style="180" bestFit="1" customWidth="1"/>
    <col min="1797" max="2046" width="9.140625" style="180"/>
    <col min="2047" max="2047" width="15" style="180" customWidth="1"/>
    <col min="2048" max="2049" width="9.140625" style="180"/>
    <col min="2050" max="2050" width="20.85546875" style="180" bestFit="1" customWidth="1"/>
    <col min="2051" max="2051" width="25" style="180" bestFit="1" customWidth="1"/>
    <col min="2052" max="2052" width="26.28515625" style="180" bestFit="1" customWidth="1"/>
    <col min="2053" max="2302" width="9.140625" style="180"/>
    <col min="2303" max="2303" width="15" style="180" customWidth="1"/>
    <col min="2304" max="2305" width="9.140625" style="180"/>
    <col min="2306" max="2306" width="20.85546875" style="180" bestFit="1" customWidth="1"/>
    <col min="2307" max="2307" width="25" style="180" bestFit="1" customWidth="1"/>
    <col min="2308" max="2308" width="26.28515625" style="180" bestFit="1" customWidth="1"/>
    <col min="2309" max="2558" width="9.140625" style="180"/>
    <col min="2559" max="2559" width="15" style="180" customWidth="1"/>
    <col min="2560" max="2561" width="9.140625" style="180"/>
    <col min="2562" max="2562" width="20.85546875" style="180" bestFit="1" customWidth="1"/>
    <col min="2563" max="2563" width="25" style="180" bestFit="1" customWidth="1"/>
    <col min="2564" max="2564" width="26.28515625" style="180" bestFit="1" customWidth="1"/>
    <col min="2565" max="2814" width="9.140625" style="180"/>
    <col min="2815" max="2815" width="15" style="180" customWidth="1"/>
    <col min="2816" max="2817" width="9.140625" style="180"/>
    <col min="2818" max="2818" width="20.85546875" style="180" bestFit="1" customWidth="1"/>
    <col min="2819" max="2819" width="25" style="180" bestFit="1" customWidth="1"/>
    <col min="2820" max="2820" width="26.28515625" style="180" bestFit="1" customWidth="1"/>
    <col min="2821" max="3070" width="9.140625" style="180"/>
    <col min="3071" max="3071" width="15" style="180" customWidth="1"/>
    <col min="3072" max="3073" width="9.140625" style="180"/>
    <col min="3074" max="3074" width="20.85546875" style="180" bestFit="1" customWidth="1"/>
    <col min="3075" max="3075" width="25" style="180" bestFit="1" customWidth="1"/>
    <col min="3076" max="3076" width="26.28515625" style="180" bestFit="1" customWidth="1"/>
    <col min="3077" max="3326" width="9.140625" style="180"/>
    <col min="3327" max="3327" width="15" style="180" customWidth="1"/>
    <col min="3328" max="3329" width="9.140625" style="180"/>
    <col min="3330" max="3330" width="20.85546875" style="180" bestFit="1" customWidth="1"/>
    <col min="3331" max="3331" width="25" style="180" bestFit="1" customWidth="1"/>
    <col min="3332" max="3332" width="26.28515625" style="180" bestFit="1" customWidth="1"/>
    <col min="3333" max="3582" width="9.140625" style="180"/>
    <col min="3583" max="3583" width="15" style="180" customWidth="1"/>
    <col min="3584" max="3585" width="9.140625" style="180"/>
    <col min="3586" max="3586" width="20.85546875" style="180" bestFit="1" customWidth="1"/>
    <col min="3587" max="3587" width="25" style="180" bestFit="1" customWidth="1"/>
    <col min="3588" max="3588" width="26.28515625" style="180" bestFit="1" customWidth="1"/>
    <col min="3589" max="3838" width="9.140625" style="180"/>
    <col min="3839" max="3839" width="15" style="180" customWidth="1"/>
    <col min="3840" max="3841" width="9.140625" style="180"/>
    <col min="3842" max="3842" width="20.85546875" style="180" bestFit="1" customWidth="1"/>
    <col min="3843" max="3843" width="25" style="180" bestFit="1" customWidth="1"/>
    <col min="3844" max="3844" width="26.28515625" style="180" bestFit="1" customWidth="1"/>
    <col min="3845" max="4094" width="9.140625" style="180"/>
    <col min="4095" max="4095" width="15" style="180" customWidth="1"/>
    <col min="4096" max="4097" width="9.140625" style="180"/>
    <col min="4098" max="4098" width="20.85546875" style="180" bestFit="1" customWidth="1"/>
    <col min="4099" max="4099" width="25" style="180" bestFit="1" customWidth="1"/>
    <col min="4100" max="4100" width="26.28515625" style="180" bestFit="1" customWidth="1"/>
    <col min="4101" max="4350" width="9.140625" style="180"/>
    <col min="4351" max="4351" width="15" style="180" customWidth="1"/>
    <col min="4352" max="4353" width="9.140625" style="180"/>
    <col min="4354" max="4354" width="20.85546875" style="180" bestFit="1" customWidth="1"/>
    <col min="4355" max="4355" width="25" style="180" bestFit="1" customWidth="1"/>
    <col min="4356" max="4356" width="26.28515625" style="180" bestFit="1" customWidth="1"/>
    <col min="4357" max="4606" width="9.140625" style="180"/>
    <col min="4607" max="4607" width="15" style="180" customWidth="1"/>
    <col min="4608" max="4609" width="9.140625" style="180"/>
    <col min="4610" max="4610" width="20.85546875" style="180" bestFit="1" customWidth="1"/>
    <col min="4611" max="4611" width="25" style="180" bestFit="1" customWidth="1"/>
    <col min="4612" max="4612" width="26.28515625" style="180" bestFit="1" customWidth="1"/>
    <col min="4613" max="4862" width="9.140625" style="180"/>
    <col min="4863" max="4863" width="15" style="180" customWidth="1"/>
    <col min="4864" max="4865" width="9.140625" style="180"/>
    <col min="4866" max="4866" width="20.85546875" style="180" bestFit="1" customWidth="1"/>
    <col min="4867" max="4867" width="25" style="180" bestFit="1" customWidth="1"/>
    <col min="4868" max="4868" width="26.28515625" style="180" bestFit="1" customWidth="1"/>
    <col min="4869" max="5118" width="9.140625" style="180"/>
    <col min="5119" max="5119" width="15" style="180" customWidth="1"/>
    <col min="5120" max="5121" width="9.140625" style="180"/>
    <col min="5122" max="5122" width="20.85546875" style="180" bestFit="1" customWidth="1"/>
    <col min="5123" max="5123" width="25" style="180" bestFit="1" customWidth="1"/>
    <col min="5124" max="5124" width="26.28515625" style="180" bestFit="1" customWidth="1"/>
    <col min="5125" max="5374" width="9.140625" style="180"/>
    <col min="5375" max="5375" width="15" style="180" customWidth="1"/>
    <col min="5376" max="5377" width="9.140625" style="180"/>
    <col min="5378" max="5378" width="20.85546875" style="180" bestFit="1" customWidth="1"/>
    <col min="5379" max="5379" width="25" style="180" bestFit="1" customWidth="1"/>
    <col min="5380" max="5380" width="26.28515625" style="180" bestFit="1" customWidth="1"/>
    <col min="5381" max="5630" width="9.140625" style="180"/>
    <col min="5631" max="5631" width="15" style="180" customWidth="1"/>
    <col min="5632" max="5633" width="9.140625" style="180"/>
    <col min="5634" max="5634" width="20.85546875" style="180" bestFit="1" customWidth="1"/>
    <col min="5635" max="5635" width="25" style="180" bestFit="1" customWidth="1"/>
    <col min="5636" max="5636" width="26.28515625" style="180" bestFit="1" customWidth="1"/>
    <col min="5637" max="5886" width="9.140625" style="180"/>
    <col min="5887" max="5887" width="15" style="180" customWidth="1"/>
    <col min="5888" max="5889" width="9.140625" style="180"/>
    <col min="5890" max="5890" width="20.85546875" style="180" bestFit="1" customWidth="1"/>
    <col min="5891" max="5891" width="25" style="180" bestFit="1" customWidth="1"/>
    <col min="5892" max="5892" width="26.28515625" style="180" bestFit="1" customWidth="1"/>
    <col min="5893" max="6142" width="9.140625" style="180"/>
    <col min="6143" max="6143" width="15" style="180" customWidth="1"/>
    <col min="6144" max="6145" width="9.140625" style="180"/>
    <col min="6146" max="6146" width="20.85546875" style="180" bestFit="1" customWidth="1"/>
    <col min="6147" max="6147" width="25" style="180" bestFit="1" customWidth="1"/>
    <col min="6148" max="6148" width="26.28515625" style="180" bestFit="1" customWidth="1"/>
    <col min="6149" max="6398" width="9.140625" style="180"/>
    <col min="6399" max="6399" width="15" style="180" customWidth="1"/>
    <col min="6400" max="6401" width="9.140625" style="180"/>
    <col min="6402" max="6402" width="20.85546875" style="180" bestFit="1" customWidth="1"/>
    <col min="6403" max="6403" width="25" style="180" bestFit="1" customWidth="1"/>
    <col min="6404" max="6404" width="26.28515625" style="180" bestFit="1" customWidth="1"/>
    <col min="6405" max="6654" width="9.140625" style="180"/>
    <col min="6655" max="6655" width="15" style="180" customWidth="1"/>
    <col min="6656" max="6657" width="9.140625" style="180"/>
    <col min="6658" max="6658" width="20.85546875" style="180" bestFit="1" customWidth="1"/>
    <col min="6659" max="6659" width="25" style="180" bestFit="1" customWidth="1"/>
    <col min="6660" max="6660" width="26.28515625" style="180" bestFit="1" customWidth="1"/>
    <col min="6661" max="6910" width="9.140625" style="180"/>
    <col min="6911" max="6911" width="15" style="180" customWidth="1"/>
    <col min="6912" max="6913" width="9.140625" style="180"/>
    <col min="6914" max="6914" width="20.85546875" style="180" bestFit="1" customWidth="1"/>
    <col min="6915" max="6915" width="25" style="180" bestFit="1" customWidth="1"/>
    <col min="6916" max="6916" width="26.28515625" style="180" bestFit="1" customWidth="1"/>
    <col min="6917" max="7166" width="9.140625" style="180"/>
    <col min="7167" max="7167" width="15" style="180" customWidth="1"/>
    <col min="7168" max="7169" width="9.140625" style="180"/>
    <col min="7170" max="7170" width="20.85546875" style="180" bestFit="1" customWidth="1"/>
    <col min="7171" max="7171" width="25" style="180" bestFit="1" customWidth="1"/>
    <col min="7172" max="7172" width="26.28515625" style="180" bestFit="1" customWidth="1"/>
    <col min="7173" max="7422" width="9.140625" style="180"/>
    <col min="7423" max="7423" width="15" style="180" customWidth="1"/>
    <col min="7424" max="7425" width="9.140625" style="180"/>
    <col min="7426" max="7426" width="20.85546875" style="180" bestFit="1" customWidth="1"/>
    <col min="7427" max="7427" width="25" style="180" bestFit="1" customWidth="1"/>
    <col min="7428" max="7428" width="26.28515625" style="180" bestFit="1" customWidth="1"/>
    <col min="7429" max="7678" width="9.140625" style="180"/>
    <col min="7679" max="7679" width="15" style="180" customWidth="1"/>
    <col min="7680" max="7681" width="9.140625" style="180"/>
    <col min="7682" max="7682" width="20.85546875" style="180" bestFit="1" customWidth="1"/>
    <col min="7683" max="7683" width="25" style="180" bestFit="1" customWidth="1"/>
    <col min="7684" max="7684" width="26.28515625" style="180" bestFit="1" customWidth="1"/>
    <col min="7685" max="7934" width="9.140625" style="180"/>
    <col min="7935" max="7935" width="15" style="180" customWidth="1"/>
    <col min="7936" max="7937" width="9.140625" style="180"/>
    <col min="7938" max="7938" width="20.85546875" style="180" bestFit="1" customWidth="1"/>
    <col min="7939" max="7939" width="25" style="180" bestFit="1" customWidth="1"/>
    <col min="7940" max="7940" width="26.28515625" style="180" bestFit="1" customWidth="1"/>
    <col min="7941" max="8190" width="9.140625" style="180"/>
    <col min="8191" max="8191" width="15" style="180" customWidth="1"/>
    <col min="8192" max="8193" width="9.140625" style="180"/>
    <col min="8194" max="8194" width="20.85546875" style="180" bestFit="1" customWidth="1"/>
    <col min="8195" max="8195" width="25" style="180" bestFit="1" customWidth="1"/>
    <col min="8196" max="8196" width="26.28515625" style="180" bestFit="1" customWidth="1"/>
    <col min="8197" max="8446" width="9.140625" style="180"/>
    <col min="8447" max="8447" width="15" style="180" customWidth="1"/>
    <col min="8448" max="8449" width="9.140625" style="180"/>
    <col min="8450" max="8450" width="20.85546875" style="180" bestFit="1" customWidth="1"/>
    <col min="8451" max="8451" width="25" style="180" bestFit="1" customWidth="1"/>
    <col min="8452" max="8452" width="26.28515625" style="180" bestFit="1" customWidth="1"/>
    <col min="8453" max="8702" width="9.140625" style="180"/>
    <col min="8703" max="8703" width="15" style="180" customWidth="1"/>
    <col min="8704" max="8705" width="9.140625" style="180"/>
    <col min="8706" max="8706" width="20.85546875" style="180" bestFit="1" customWidth="1"/>
    <col min="8707" max="8707" width="25" style="180" bestFit="1" customWidth="1"/>
    <col min="8708" max="8708" width="26.28515625" style="180" bestFit="1" customWidth="1"/>
    <col min="8709" max="8958" width="9.140625" style="180"/>
    <col min="8959" max="8959" width="15" style="180" customWidth="1"/>
    <col min="8960" max="8961" width="9.140625" style="180"/>
    <col min="8962" max="8962" width="20.85546875" style="180" bestFit="1" customWidth="1"/>
    <col min="8963" max="8963" width="25" style="180" bestFit="1" customWidth="1"/>
    <col min="8964" max="8964" width="26.28515625" style="180" bestFit="1" customWidth="1"/>
    <col min="8965" max="9214" width="9.140625" style="180"/>
    <col min="9215" max="9215" width="15" style="180" customWidth="1"/>
    <col min="9216" max="9217" width="9.140625" style="180"/>
    <col min="9218" max="9218" width="20.85546875" style="180" bestFit="1" customWidth="1"/>
    <col min="9219" max="9219" width="25" style="180" bestFit="1" customWidth="1"/>
    <col min="9220" max="9220" width="26.28515625" style="180" bestFit="1" customWidth="1"/>
    <col min="9221" max="9470" width="9.140625" style="180"/>
    <col min="9471" max="9471" width="15" style="180" customWidth="1"/>
    <col min="9472" max="9473" width="9.140625" style="180"/>
    <col min="9474" max="9474" width="20.85546875" style="180" bestFit="1" customWidth="1"/>
    <col min="9475" max="9475" width="25" style="180" bestFit="1" customWidth="1"/>
    <col min="9476" max="9476" width="26.28515625" style="180" bestFit="1" customWidth="1"/>
    <col min="9477" max="9726" width="9.140625" style="180"/>
    <col min="9727" max="9727" width="15" style="180" customWidth="1"/>
    <col min="9728" max="9729" width="9.140625" style="180"/>
    <col min="9730" max="9730" width="20.85546875" style="180" bestFit="1" customWidth="1"/>
    <col min="9731" max="9731" width="25" style="180" bestFit="1" customWidth="1"/>
    <col min="9732" max="9732" width="26.28515625" style="180" bestFit="1" customWidth="1"/>
    <col min="9733" max="9982" width="9.140625" style="180"/>
    <col min="9983" max="9983" width="15" style="180" customWidth="1"/>
    <col min="9984" max="9985" width="9.140625" style="180"/>
    <col min="9986" max="9986" width="20.85546875" style="180" bestFit="1" customWidth="1"/>
    <col min="9987" max="9987" width="25" style="180" bestFit="1" customWidth="1"/>
    <col min="9988" max="9988" width="26.28515625" style="180" bestFit="1" customWidth="1"/>
    <col min="9989" max="10238" width="9.140625" style="180"/>
    <col min="10239" max="10239" width="15" style="180" customWidth="1"/>
    <col min="10240" max="10241" width="9.140625" style="180"/>
    <col min="10242" max="10242" width="20.85546875" style="180" bestFit="1" customWidth="1"/>
    <col min="10243" max="10243" width="25" style="180" bestFit="1" customWidth="1"/>
    <col min="10244" max="10244" width="26.28515625" style="180" bestFit="1" customWidth="1"/>
    <col min="10245" max="10494" width="9.140625" style="180"/>
    <col min="10495" max="10495" width="15" style="180" customWidth="1"/>
    <col min="10496" max="10497" width="9.140625" style="180"/>
    <col min="10498" max="10498" width="20.85546875" style="180" bestFit="1" customWidth="1"/>
    <col min="10499" max="10499" width="25" style="180" bestFit="1" customWidth="1"/>
    <col min="10500" max="10500" width="26.28515625" style="180" bestFit="1" customWidth="1"/>
    <col min="10501" max="10750" width="9.140625" style="180"/>
    <col min="10751" max="10751" width="15" style="180" customWidth="1"/>
    <col min="10752" max="10753" width="9.140625" style="180"/>
    <col min="10754" max="10754" width="20.85546875" style="180" bestFit="1" customWidth="1"/>
    <col min="10755" max="10755" width="25" style="180" bestFit="1" customWidth="1"/>
    <col min="10756" max="10756" width="26.28515625" style="180" bestFit="1" customWidth="1"/>
    <col min="10757" max="11006" width="9.140625" style="180"/>
    <col min="11007" max="11007" width="15" style="180" customWidth="1"/>
    <col min="11008" max="11009" width="9.140625" style="180"/>
    <col min="11010" max="11010" width="20.85546875" style="180" bestFit="1" customWidth="1"/>
    <col min="11011" max="11011" width="25" style="180" bestFit="1" customWidth="1"/>
    <col min="11012" max="11012" width="26.28515625" style="180" bestFit="1" customWidth="1"/>
    <col min="11013" max="11262" width="9.140625" style="180"/>
    <col min="11263" max="11263" width="15" style="180" customWidth="1"/>
    <col min="11264" max="11265" width="9.140625" style="180"/>
    <col min="11266" max="11266" width="20.85546875" style="180" bestFit="1" customWidth="1"/>
    <col min="11267" max="11267" width="25" style="180" bestFit="1" customWidth="1"/>
    <col min="11268" max="11268" width="26.28515625" style="180" bestFit="1" customWidth="1"/>
    <col min="11269" max="11518" width="9.140625" style="180"/>
    <col min="11519" max="11519" width="15" style="180" customWidth="1"/>
    <col min="11520" max="11521" width="9.140625" style="180"/>
    <col min="11522" max="11522" width="20.85546875" style="180" bestFit="1" customWidth="1"/>
    <col min="11523" max="11523" width="25" style="180" bestFit="1" customWidth="1"/>
    <col min="11524" max="11524" width="26.28515625" style="180" bestFit="1" customWidth="1"/>
    <col min="11525" max="11774" width="9.140625" style="180"/>
    <col min="11775" max="11775" width="15" style="180" customWidth="1"/>
    <col min="11776" max="11777" width="9.140625" style="180"/>
    <col min="11778" max="11778" width="20.85546875" style="180" bestFit="1" customWidth="1"/>
    <col min="11779" max="11779" width="25" style="180" bestFit="1" customWidth="1"/>
    <col min="11780" max="11780" width="26.28515625" style="180" bestFit="1" customWidth="1"/>
    <col min="11781" max="12030" width="9.140625" style="180"/>
    <col min="12031" max="12031" width="15" style="180" customWidth="1"/>
    <col min="12032" max="12033" width="9.140625" style="180"/>
    <col min="12034" max="12034" width="20.85546875" style="180" bestFit="1" customWidth="1"/>
    <col min="12035" max="12035" width="25" style="180" bestFit="1" customWidth="1"/>
    <col min="12036" max="12036" width="26.28515625" style="180" bestFit="1" customWidth="1"/>
    <col min="12037" max="12286" width="9.140625" style="180"/>
    <col min="12287" max="12287" width="15" style="180" customWidth="1"/>
    <col min="12288" max="12289" width="9.140625" style="180"/>
    <col min="12290" max="12290" width="20.85546875" style="180" bestFit="1" customWidth="1"/>
    <col min="12291" max="12291" width="25" style="180" bestFit="1" customWidth="1"/>
    <col min="12292" max="12292" width="26.28515625" style="180" bestFit="1" customWidth="1"/>
    <col min="12293" max="12542" width="9.140625" style="180"/>
    <col min="12543" max="12543" width="15" style="180" customWidth="1"/>
    <col min="12544" max="12545" width="9.140625" style="180"/>
    <col min="12546" max="12546" width="20.85546875" style="180" bestFit="1" customWidth="1"/>
    <col min="12547" max="12547" width="25" style="180" bestFit="1" customWidth="1"/>
    <col min="12548" max="12548" width="26.28515625" style="180" bestFit="1" customWidth="1"/>
    <col min="12549" max="12798" width="9.140625" style="180"/>
    <col min="12799" max="12799" width="15" style="180" customWidth="1"/>
    <col min="12800" max="12801" width="9.140625" style="180"/>
    <col min="12802" max="12802" width="20.85546875" style="180" bestFit="1" customWidth="1"/>
    <col min="12803" max="12803" width="25" style="180" bestFit="1" customWidth="1"/>
    <col min="12804" max="12804" width="26.28515625" style="180" bestFit="1" customWidth="1"/>
    <col min="12805" max="13054" width="9.140625" style="180"/>
    <col min="13055" max="13055" width="15" style="180" customWidth="1"/>
    <col min="13056" max="13057" width="9.140625" style="180"/>
    <col min="13058" max="13058" width="20.85546875" style="180" bestFit="1" customWidth="1"/>
    <col min="13059" max="13059" width="25" style="180" bestFit="1" customWidth="1"/>
    <col min="13060" max="13060" width="26.28515625" style="180" bestFit="1" customWidth="1"/>
    <col min="13061" max="13310" width="9.140625" style="180"/>
    <col min="13311" max="13311" width="15" style="180" customWidth="1"/>
    <col min="13312" max="13313" width="9.140625" style="180"/>
    <col min="13314" max="13314" width="20.85546875" style="180" bestFit="1" customWidth="1"/>
    <col min="13315" max="13315" width="25" style="180" bestFit="1" customWidth="1"/>
    <col min="13316" max="13316" width="26.28515625" style="180" bestFit="1" customWidth="1"/>
    <col min="13317" max="13566" width="9.140625" style="180"/>
    <col min="13567" max="13567" width="15" style="180" customWidth="1"/>
    <col min="13568" max="13569" width="9.140625" style="180"/>
    <col min="13570" max="13570" width="20.85546875" style="180" bestFit="1" customWidth="1"/>
    <col min="13571" max="13571" width="25" style="180" bestFit="1" customWidth="1"/>
    <col min="13572" max="13572" width="26.28515625" style="180" bestFit="1" customWidth="1"/>
    <col min="13573" max="13822" width="9.140625" style="180"/>
    <col min="13823" max="13823" width="15" style="180" customWidth="1"/>
    <col min="13824" max="13825" width="9.140625" style="180"/>
    <col min="13826" max="13826" width="20.85546875" style="180" bestFit="1" customWidth="1"/>
    <col min="13827" max="13827" width="25" style="180" bestFit="1" customWidth="1"/>
    <col min="13828" max="13828" width="26.28515625" style="180" bestFit="1" customWidth="1"/>
    <col min="13829" max="14078" width="9.140625" style="180"/>
    <col min="14079" max="14079" width="15" style="180" customWidth="1"/>
    <col min="14080" max="14081" width="9.140625" style="180"/>
    <col min="14082" max="14082" width="20.85546875" style="180" bestFit="1" customWidth="1"/>
    <col min="14083" max="14083" width="25" style="180" bestFit="1" customWidth="1"/>
    <col min="14084" max="14084" width="26.28515625" style="180" bestFit="1" customWidth="1"/>
    <col min="14085" max="14334" width="9.140625" style="180"/>
    <col min="14335" max="14335" width="15" style="180" customWidth="1"/>
    <col min="14336" max="14337" width="9.140625" style="180"/>
    <col min="14338" max="14338" width="20.85546875" style="180" bestFit="1" customWidth="1"/>
    <col min="14339" max="14339" width="25" style="180" bestFit="1" customWidth="1"/>
    <col min="14340" max="14340" width="26.28515625" style="180" bestFit="1" customWidth="1"/>
    <col min="14341" max="14590" width="9.140625" style="180"/>
    <col min="14591" max="14591" width="15" style="180" customWidth="1"/>
    <col min="14592" max="14593" width="9.140625" style="180"/>
    <col min="14594" max="14594" width="20.85546875" style="180" bestFit="1" customWidth="1"/>
    <col min="14595" max="14595" width="25" style="180" bestFit="1" customWidth="1"/>
    <col min="14596" max="14596" width="26.28515625" style="180" bestFit="1" customWidth="1"/>
    <col min="14597" max="14846" width="9.140625" style="180"/>
    <col min="14847" max="14847" width="15" style="180" customWidth="1"/>
    <col min="14848" max="14849" width="9.140625" style="180"/>
    <col min="14850" max="14850" width="20.85546875" style="180" bestFit="1" customWidth="1"/>
    <col min="14851" max="14851" width="25" style="180" bestFit="1" customWidth="1"/>
    <col min="14852" max="14852" width="26.28515625" style="180" bestFit="1" customWidth="1"/>
    <col min="14853" max="15102" width="9.140625" style="180"/>
    <col min="15103" max="15103" width="15" style="180" customWidth="1"/>
    <col min="15104" max="15105" width="9.140625" style="180"/>
    <col min="15106" max="15106" width="20.85546875" style="180" bestFit="1" customWidth="1"/>
    <col min="15107" max="15107" width="25" style="180" bestFit="1" customWidth="1"/>
    <col min="15108" max="15108" width="26.28515625" style="180" bestFit="1" customWidth="1"/>
    <col min="15109" max="15358" width="9.140625" style="180"/>
    <col min="15359" max="15359" width="15" style="180" customWidth="1"/>
    <col min="15360" max="15361" width="9.140625" style="180"/>
    <col min="15362" max="15362" width="20.85546875" style="180" bestFit="1" customWidth="1"/>
    <col min="15363" max="15363" width="25" style="180" bestFit="1" customWidth="1"/>
    <col min="15364" max="15364" width="26.28515625" style="180" bestFit="1" customWidth="1"/>
    <col min="15365" max="15614" width="9.140625" style="180"/>
    <col min="15615" max="15615" width="15" style="180" customWidth="1"/>
    <col min="15616" max="15617" width="9.140625" style="180"/>
    <col min="15618" max="15618" width="20.85546875" style="180" bestFit="1" customWidth="1"/>
    <col min="15619" max="15619" width="25" style="180" bestFit="1" customWidth="1"/>
    <col min="15620" max="15620" width="26.28515625" style="180" bestFit="1" customWidth="1"/>
    <col min="15621" max="15870" width="9.140625" style="180"/>
    <col min="15871" max="15871" width="15" style="180" customWidth="1"/>
    <col min="15872" max="15873" width="9.140625" style="180"/>
    <col min="15874" max="15874" width="20.85546875" style="180" bestFit="1" customWidth="1"/>
    <col min="15875" max="15875" width="25" style="180" bestFit="1" customWidth="1"/>
    <col min="15876" max="15876" width="26.28515625" style="180" bestFit="1" customWidth="1"/>
    <col min="15877" max="16126" width="9.140625" style="180"/>
    <col min="16127" max="16127" width="15" style="180" customWidth="1"/>
    <col min="16128" max="16129" width="9.140625" style="180"/>
    <col min="16130" max="16130" width="20.85546875" style="180" bestFit="1" customWidth="1"/>
    <col min="16131" max="16131" width="25" style="180" bestFit="1" customWidth="1"/>
    <col min="16132" max="16132" width="26.28515625" style="180" bestFit="1" customWidth="1"/>
    <col min="16133" max="16384" width="9.140625" style="180"/>
  </cols>
  <sheetData>
    <row r="1" spans="1:8" ht="32.25" customHeight="1" x14ac:dyDescent="0.25">
      <c r="A1" s="598" t="s">
        <v>318</v>
      </c>
      <c r="B1" s="598"/>
      <c r="C1" s="598"/>
      <c r="D1" s="598"/>
      <c r="E1" s="598"/>
      <c r="F1" s="598"/>
      <c r="G1" s="598"/>
    </row>
    <row r="2" spans="1:8" ht="15.75" thickBot="1" x14ac:dyDescent="0.3">
      <c r="A2" s="143"/>
      <c r="B2" s="143"/>
      <c r="C2" s="143"/>
      <c r="D2" s="143"/>
      <c r="E2" s="143"/>
      <c r="F2" s="143"/>
      <c r="G2" s="143"/>
    </row>
    <row r="3" spans="1:8" ht="15.75" thickBot="1" x14ac:dyDescent="0.25">
      <c r="A3" s="599" t="s">
        <v>321</v>
      </c>
      <c r="B3" s="600"/>
      <c r="C3" s="600"/>
      <c r="D3" s="600"/>
      <c r="E3" s="600"/>
      <c r="F3" s="600"/>
      <c r="G3" s="601"/>
    </row>
    <row r="4" spans="1:8" ht="15" customHeight="1" x14ac:dyDescent="0.2">
      <c r="A4" s="602" t="s">
        <v>126</v>
      </c>
      <c r="B4" s="602" t="s">
        <v>352</v>
      </c>
      <c r="C4" s="602" t="s">
        <v>216</v>
      </c>
      <c r="D4" s="602" t="s">
        <v>327</v>
      </c>
      <c r="E4" s="602" t="s">
        <v>328</v>
      </c>
      <c r="F4" s="604" t="s">
        <v>207</v>
      </c>
      <c r="G4" s="602" t="s">
        <v>329</v>
      </c>
    </row>
    <row r="5" spans="1:8" ht="13.5" thickBot="1" x14ac:dyDescent="0.25">
      <c r="A5" s="603"/>
      <c r="B5" s="603"/>
      <c r="C5" s="603"/>
      <c r="D5" s="603"/>
      <c r="E5" s="603"/>
      <c r="F5" s="605"/>
      <c r="G5" s="603"/>
    </row>
    <row r="6" spans="1:8" ht="42.75" customHeight="1" x14ac:dyDescent="0.2">
      <c r="A6" s="400" t="s">
        <v>220</v>
      </c>
      <c r="B6" s="401" t="s">
        <v>221</v>
      </c>
      <c r="C6" s="401">
        <v>5</v>
      </c>
      <c r="D6" s="402">
        <v>800</v>
      </c>
      <c r="E6" s="403">
        <f>D6*C6</f>
        <v>4000</v>
      </c>
      <c r="F6" s="144">
        <v>12</v>
      </c>
      <c r="G6" s="404">
        <f>E6/F6</f>
        <v>333.33333333333331</v>
      </c>
    </row>
    <row r="7" spans="1:8" ht="34.5" customHeight="1" thickBot="1" x14ac:dyDescent="0.25">
      <c r="A7" s="593" t="s">
        <v>222</v>
      </c>
      <c r="B7" s="594"/>
      <c r="C7" s="594"/>
      <c r="D7" s="594"/>
      <c r="E7" s="594"/>
      <c r="F7" s="594"/>
      <c r="G7" s="405">
        <v>75</v>
      </c>
      <c r="H7" s="406"/>
    </row>
    <row r="8" spans="1:8" ht="15.75" thickBot="1" x14ac:dyDescent="0.25">
      <c r="A8" s="595" t="s">
        <v>223</v>
      </c>
      <c r="B8" s="596"/>
      <c r="C8" s="596"/>
      <c r="D8" s="596"/>
      <c r="E8" s="596"/>
      <c r="F8" s="597"/>
      <c r="G8" s="186">
        <f>G6/G7</f>
        <v>4.4444444444444438</v>
      </c>
    </row>
    <row r="9" spans="1:8" ht="15" x14ac:dyDescent="0.25">
      <c r="A9" s="143"/>
      <c r="B9" s="143"/>
      <c r="C9" s="143"/>
      <c r="D9" s="143"/>
      <c r="E9" s="143"/>
      <c r="F9" s="143"/>
      <c r="G9" s="143"/>
    </row>
    <row r="10" spans="1:8" ht="15" x14ac:dyDescent="0.25">
      <c r="A10" s="143"/>
      <c r="B10" s="143"/>
      <c r="C10" s="143"/>
      <c r="D10" s="143"/>
      <c r="E10" s="143"/>
      <c r="F10" s="143"/>
      <c r="G10" s="143"/>
    </row>
    <row r="11" spans="1:8" ht="15" x14ac:dyDescent="0.25">
      <c r="A11" s="143"/>
      <c r="B11" s="143"/>
      <c r="C11" s="143"/>
      <c r="D11" s="143"/>
      <c r="E11" s="143"/>
      <c r="F11" s="143"/>
      <c r="G11" s="143"/>
    </row>
    <row r="12" spans="1:8" ht="15" x14ac:dyDescent="0.25">
      <c r="A12" s="143"/>
      <c r="B12" s="143"/>
      <c r="C12" s="143"/>
      <c r="D12" s="143"/>
      <c r="E12" s="143"/>
      <c r="F12" s="143"/>
      <c r="G12" s="143"/>
    </row>
    <row r="13" spans="1:8" ht="15" x14ac:dyDescent="0.25">
      <c r="A13" s="143"/>
      <c r="B13" s="143"/>
      <c r="C13" s="143"/>
      <c r="D13" s="143"/>
      <c r="E13" s="143"/>
      <c r="F13" s="143"/>
      <c r="G13" s="223"/>
    </row>
  </sheetData>
  <mergeCells count="11">
    <mergeCell ref="A7:F7"/>
    <mergeCell ref="A8:F8"/>
    <mergeCell ref="A1:G1"/>
    <mergeCell ref="A3:G3"/>
    <mergeCell ref="A4:A5"/>
    <mergeCell ref="B4:B5"/>
    <mergeCell ref="C4:C5"/>
    <mergeCell ref="D4:D5"/>
    <mergeCell ref="E4:E5"/>
    <mergeCell ref="G4:G5"/>
    <mergeCell ref="F4:F5"/>
  </mergeCells>
  <pageMargins left="0.511811024" right="0.511811024" top="1.6316666666666666" bottom="1.2515624999999999" header="0.31496062000000002" footer="0.31496062000000002"/>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3"/>
  <sheetViews>
    <sheetView view="pageBreakPreview" zoomScale="120" zoomScaleNormal="130" zoomScaleSheetLayoutView="120" workbookViewId="0">
      <selection activeCell="G6" sqref="G6"/>
    </sheetView>
  </sheetViews>
  <sheetFormatPr defaultRowHeight="12.75" x14ac:dyDescent="0.2"/>
  <cols>
    <col min="1" max="1" width="38.140625" style="69" customWidth="1"/>
    <col min="2" max="3" width="9.140625" style="69"/>
    <col min="4" max="4" width="20" style="69" customWidth="1"/>
    <col min="5" max="5" width="18.7109375" style="69" customWidth="1"/>
    <col min="6" max="6" width="13.5703125" style="69" bestFit="1" customWidth="1"/>
    <col min="7" max="7" width="19.140625" style="69" customWidth="1"/>
    <col min="8" max="254" width="9.140625" style="69"/>
    <col min="255" max="255" width="15" style="69" customWidth="1"/>
    <col min="256" max="257" width="9.140625" style="69"/>
    <col min="258" max="258" width="20.85546875" style="69" bestFit="1" customWidth="1"/>
    <col min="259" max="259" width="25" style="69" bestFit="1" customWidth="1"/>
    <col min="260" max="260" width="26.28515625" style="69" bestFit="1" customWidth="1"/>
    <col min="261" max="510" width="9.140625" style="69"/>
    <col min="511" max="511" width="15" style="69" customWidth="1"/>
    <col min="512" max="513" width="9.140625" style="69"/>
    <col min="514" max="514" width="20.85546875" style="69" bestFit="1" customWidth="1"/>
    <col min="515" max="515" width="25" style="69" bestFit="1" customWidth="1"/>
    <col min="516" max="516" width="26.28515625" style="69" bestFit="1" customWidth="1"/>
    <col min="517" max="766" width="9.140625" style="69"/>
    <col min="767" max="767" width="15" style="69" customWidth="1"/>
    <col min="768" max="769" width="9.140625" style="69"/>
    <col min="770" max="770" width="20.85546875" style="69" bestFit="1" customWidth="1"/>
    <col min="771" max="771" width="25" style="69" bestFit="1" customWidth="1"/>
    <col min="772" max="772" width="26.28515625" style="69" bestFit="1" customWidth="1"/>
    <col min="773" max="1022" width="9.140625" style="69"/>
    <col min="1023" max="1023" width="15" style="69" customWidth="1"/>
    <col min="1024" max="1025" width="9.140625" style="69"/>
    <col min="1026" max="1026" width="20.85546875" style="69" bestFit="1" customWidth="1"/>
    <col min="1027" max="1027" width="25" style="69" bestFit="1" customWidth="1"/>
    <col min="1028" max="1028" width="26.28515625" style="69" bestFit="1" customWidth="1"/>
    <col min="1029" max="1278" width="9.140625" style="69"/>
    <col min="1279" max="1279" width="15" style="69" customWidth="1"/>
    <col min="1280" max="1281" width="9.140625" style="69"/>
    <col min="1282" max="1282" width="20.85546875" style="69" bestFit="1" customWidth="1"/>
    <col min="1283" max="1283" width="25" style="69" bestFit="1" customWidth="1"/>
    <col min="1284" max="1284" width="26.28515625" style="69" bestFit="1" customWidth="1"/>
    <col min="1285" max="1534" width="9.140625" style="69"/>
    <col min="1535" max="1535" width="15" style="69" customWidth="1"/>
    <col min="1536" max="1537" width="9.140625" style="69"/>
    <col min="1538" max="1538" width="20.85546875" style="69" bestFit="1" customWidth="1"/>
    <col min="1539" max="1539" width="25" style="69" bestFit="1" customWidth="1"/>
    <col min="1540" max="1540" width="26.28515625" style="69" bestFit="1" customWidth="1"/>
    <col min="1541" max="1790" width="9.140625" style="69"/>
    <col min="1791" max="1791" width="15" style="69" customWidth="1"/>
    <col min="1792" max="1793" width="9.140625" style="69"/>
    <col min="1794" max="1794" width="20.85546875" style="69" bestFit="1" customWidth="1"/>
    <col min="1795" max="1795" width="25" style="69" bestFit="1" customWidth="1"/>
    <col min="1796" max="1796" width="26.28515625" style="69" bestFit="1" customWidth="1"/>
    <col min="1797" max="2046" width="9.140625" style="69"/>
    <col min="2047" max="2047" width="15" style="69" customWidth="1"/>
    <col min="2048" max="2049" width="9.140625" style="69"/>
    <col min="2050" max="2050" width="20.85546875" style="69" bestFit="1" customWidth="1"/>
    <col min="2051" max="2051" width="25" style="69" bestFit="1" customWidth="1"/>
    <col min="2052" max="2052" width="26.28515625" style="69" bestFit="1" customWidth="1"/>
    <col min="2053" max="2302" width="9.140625" style="69"/>
    <col min="2303" max="2303" width="15" style="69" customWidth="1"/>
    <col min="2304" max="2305" width="9.140625" style="69"/>
    <col min="2306" max="2306" width="20.85546875" style="69" bestFit="1" customWidth="1"/>
    <col min="2307" max="2307" width="25" style="69" bestFit="1" customWidth="1"/>
    <col min="2308" max="2308" width="26.28515625" style="69" bestFit="1" customWidth="1"/>
    <col min="2309" max="2558" width="9.140625" style="69"/>
    <col min="2559" max="2559" width="15" style="69" customWidth="1"/>
    <col min="2560" max="2561" width="9.140625" style="69"/>
    <col min="2562" max="2562" width="20.85546875" style="69" bestFit="1" customWidth="1"/>
    <col min="2563" max="2563" width="25" style="69" bestFit="1" customWidth="1"/>
    <col min="2564" max="2564" width="26.28515625" style="69" bestFit="1" customWidth="1"/>
    <col min="2565" max="2814" width="9.140625" style="69"/>
    <col min="2815" max="2815" width="15" style="69" customWidth="1"/>
    <col min="2816" max="2817" width="9.140625" style="69"/>
    <col min="2818" max="2818" width="20.85546875" style="69" bestFit="1" customWidth="1"/>
    <col min="2819" max="2819" width="25" style="69" bestFit="1" customWidth="1"/>
    <col min="2820" max="2820" width="26.28515625" style="69" bestFit="1" customWidth="1"/>
    <col min="2821" max="3070" width="9.140625" style="69"/>
    <col min="3071" max="3071" width="15" style="69" customWidth="1"/>
    <col min="3072" max="3073" width="9.140625" style="69"/>
    <col min="3074" max="3074" width="20.85546875" style="69" bestFit="1" customWidth="1"/>
    <col min="3075" max="3075" width="25" style="69" bestFit="1" customWidth="1"/>
    <col min="3076" max="3076" width="26.28515625" style="69" bestFit="1" customWidth="1"/>
    <col min="3077" max="3326" width="9.140625" style="69"/>
    <col min="3327" max="3327" width="15" style="69" customWidth="1"/>
    <col min="3328" max="3329" width="9.140625" style="69"/>
    <col min="3330" max="3330" width="20.85546875" style="69" bestFit="1" customWidth="1"/>
    <col min="3331" max="3331" width="25" style="69" bestFit="1" customWidth="1"/>
    <col min="3332" max="3332" width="26.28515625" style="69" bestFit="1" customWidth="1"/>
    <col min="3333" max="3582" width="9.140625" style="69"/>
    <col min="3583" max="3583" width="15" style="69" customWidth="1"/>
    <col min="3584" max="3585" width="9.140625" style="69"/>
    <col min="3586" max="3586" width="20.85546875" style="69" bestFit="1" customWidth="1"/>
    <col min="3587" max="3587" width="25" style="69" bestFit="1" customWidth="1"/>
    <col min="3588" max="3588" width="26.28515625" style="69" bestFit="1" customWidth="1"/>
    <col min="3589" max="3838" width="9.140625" style="69"/>
    <col min="3839" max="3839" width="15" style="69" customWidth="1"/>
    <col min="3840" max="3841" width="9.140625" style="69"/>
    <col min="3842" max="3842" width="20.85546875" style="69" bestFit="1" customWidth="1"/>
    <col min="3843" max="3843" width="25" style="69" bestFit="1" customWidth="1"/>
    <col min="3844" max="3844" width="26.28515625" style="69" bestFit="1" customWidth="1"/>
    <col min="3845" max="4094" width="9.140625" style="69"/>
    <col min="4095" max="4095" width="15" style="69" customWidth="1"/>
    <col min="4096" max="4097" width="9.140625" style="69"/>
    <col min="4098" max="4098" width="20.85546875" style="69" bestFit="1" customWidth="1"/>
    <col min="4099" max="4099" width="25" style="69" bestFit="1" customWidth="1"/>
    <col min="4100" max="4100" width="26.28515625" style="69" bestFit="1" customWidth="1"/>
    <col min="4101" max="4350" width="9.140625" style="69"/>
    <col min="4351" max="4351" width="15" style="69" customWidth="1"/>
    <col min="4352" max="4353" width="9.140625" style="69"/>
    <col min="4354" max="4354" width="20.85546875" style="69" bestFit="1" customWidth="1"/>
    <col min="4355" max="4355" width="25" style="69" bestFit="1" customWidth="1"/>
    <col min="4356" max="4356" width="26.28515625" style="69" bestFit="1" customWidth="1"/>
    <col min="4357" max="4606" width="9.140625" style="69"/>
    <col min="4607" max="4607" width="15" style="69" customWidth="1"/>
    <col min="4608" max="4609" width="9.140625" style="69"/>
    <col min="4610" max="4610" width="20.85546875" style="69" bestFit="1" customWidth="1"/>
    <col min="4611" max="4611" width="25" style="69" bestFit="1" customWidth="1"/>
    <col min="4612" max="4612" width="26.28515625" style="69" bestFit="1" customWidth="1"/>
    <col min="4613" max="4862" width="9.140625" style="69"/>
    <col min="4863" max="4863" width="15" style="69" customWidth="1"/>
    <col min="4864" max="4865" width="9.140625" style="69"/>
    <col min="4866" max="4866" width="20.85546875" style="69" bestFit="1" customWidth="1"/>
    <col min="4867" max="4867" width="25" style="69" bestFit="1" customWidth="1"/>
    <col min="4868" max="4868" width="26.28515625" style="69" bestFit="1" customWidth="1"/>
    <col min="4869" max="5118" width="9.140625" style="69"/>
    <col min="5119" max="5119" width="15" style="69" customWidth="1"/>
    <col min="5120" max="5121" width="9.140625" style="69"/>
    <col min="5122" max="5122" width="20.85546875" style="69" bestFit="1" customWidth="1"/>
    <col min="5123" max="5123" width="25" style="69" bestFit="1" customWidth="1"/>
    <col min="5124" max="5124" width="26.28515625" style="69" bestFit="1" customWidth="1"/>
    <col min="5125" max="5374" width="9.140625" style="69"/>
    <col min="5375" max="5375" width="15" style="69" customWidth="1"/>
    <col min="5376" max="5377" width="9.140625" style="69"/>
    <col min="5378" max="5378" width="20.85546875" style="69" bestFit="1" customWidth="1"/>
    <col min="5379" max="5379" width="25" style="69" bestFit="1" customWidth="1"/>
    <col min="5380" max="5380" width="26.28515625" style="69" bestFit="1" customWidth="1"/>
    <col min="5381" max="5630" width="9.140625" style="69"/>
    <col min="5631" max="5631" width="15" style="69" customWidth="1"/>
    <col min="5632" max="5633" width="9.140625" style="69"/>
    <col min="5634" max="5634" width="20.85546875" style="69" bestFit="1" customWidth="1"/>
    <col min="5635" max="5635" width="25" style="69" bestFit="1" customWidth="1"/>
    <col min="5636" max="5636" width="26.28515625" style="69" bestFit="1" customWidth="1"/>
    <col min="5637" max="5886" width="9.140625" style="69"/>
    <col min="5887" max="5887" width="15" style="69" customWidth="1"/>
    <col min="5888" max="5889" width="9.140625" style="69"/>
    <col min="5890" max="5890" width="20.85546875" style="69" bestFit="1" customWidth="1"/>
    <col min="5891" max="5891" width="25" style="69" bestFit="1" customWidth="1"/>
    <col min="5892" max="5892" width="26.28515625" style="69" bestFit="1" customWidth="1"/>
    <col min="5893" max="6142" width="9.140625" style="69"/>
    <col min="6143" max="6143" width="15" style="69" customWidth="1"/>
    <col min="6144" max="6145" width="9.140625" style="69"/>
    <col min="6146" max="6146" width="20.85546875" style="69" bestFit="1" customWidth="1"/>
    <col min="6147" max="6147" width="25" style="69" bestFit="1" customWidth="1"/>
    <col min="6148" max="6148" width="26.28515625" style="69" bestFit="1" customWidth="1"/>
    <col min="6149" max="6398" width="9.140625" style="69"/>
    <col min="6399" max="6399" width="15" style="69" customWidth="1"/>
    <col min="6400" max="6401" width="9.140625" style="69"/>
    <col min="6402" max="6402" width="20.85546875" style="69" bestFit="1" customWidth="1"/>
    <col min="6403" max="6403" width="25" style="69" bestFit="1" customWidth="1"/>
    <col min="6404" max="6404" width="26.28515625" style="69" bestFit="1" customWidth="1"/>
    <col min="6405" max="6654" width="9.140625" style="69"/>
    <col min="6655" max="6655" width="15" style="69" customWidth="1"/>
    <col min="6656" max="6657" width="9.140625" style="69"/>
    <col min="6658" max="6658" width="20.85546875" style="69" bestFit="1" customWidth="1"/>
    <col min="6659" max="6659" width="25" style="69" bestFit="1" customWidth="1"/>
    <col min="6660" max="6660" width="26.28515625" style="69" bestFit="1" customWidth="1"/>
    <col min="6661" max="6910" width="9.140625" style="69"/>
    <col min="6911" max="6911" width="15" style="69" customWidth="1"/>
    <col min="6912" max="6913" width="9.140625" style="69"/>
    <col min="6914" max="6914" width="20.85546875" style="69" bestFit="1" customWidth="1"/>
    <col min="6915" max="6915" width="25" style="69" bestFit="1" customWidth="1"/>
    <col min="6916" max="6916" width="26.28515625" style="69" bestFit="1" customWidth="1"/>
    <col min="6917" max="7166" width="9.140625" style="69"/>
    <col min="7167" max="7167" width="15" style="69" customWidth="1"/>
    <col min="7168" max="7169" width="9.140625" style="69"/>
    <col min="7170" max="7170" width="20.85546875" style="69" bestFit="1" customWidth="1"/>
    <col min="7171" max="7171" width="25" style="69" bestFit="1" customWidth="1"/>
    <col min="7172" max="7172" width="26.28515625" style="69" bestFit="1" customWidth="1"/>
    <col min="7173" max="7422" width="9.140625" style="69"/>
    <col min="7423" max="7423" width="15" style="69" customWidth="1"/>
    <col min="7424" max="7425" width="9.140625" style="69"/>
    <col min="7426" max="7426" width="20.85546875" style="69" bestFit="1" customWidth="1"/>
    <col min="7427" max="7427" width="25" style="69" bestFit="1" customWidth="1"/>
    <col min="7428" max="7428" width="26.28515625" style="69" bestFit="1" customWidth="1"/>
    <col min="7429" max="7678" width="9.140625" style="69"/>
    <col min="7679" max="7679" width="15" style="69" customWidth="1"/>
    <col min="7680" max="7681" width="9.140625" style="69"/>
    <col min="7682" max="7682" width="20.85546875" style="69" bestFit="1" customWidth="1"/>
    <col min="7683" max="7683" width="25" style="69" bestFit="1" customWidth="1"/>
    <col min="7684" max="7684" width="26.28515625" style="69" bestFit="1" customWidth="1"/>
    <col min="7685" max="7934" width="9.140625" style="69"/>
    <col min="7935" max="7935" width="15" style="69" customWidth="1"/>
    <col min="7936" max="7937" width="9.140625" style="69"/>
    <col min="7938" max="7938" width="20.85546875" style="69" bestFit="1" customWidth="1"/>
    <col min="7939" max="7939" width="25" style="69" bestFit="1" customWidth="1"/>
    <col min="7940" max="7940" width="26.28515625" style="69" bestFit="1" customWidth="1"/>
    <col min="7941" max="8190" width="9.140625" style="69"/>
    <col min="8191" max="8191" width="15" style="69" customWidth="1"/>
    <col min="8192" max="8193" width="9.140625" style="69"/>
    <col min="8194" max="8194" width="20.85546875" style="69" bestFit="1" customWidth="1"/>
    <col min="8195" max="8195" width="25" style="69" bestFit="1" customWidth="1"/>
    <col min="8196" max="8196" width="26.28515625" style="69" bestFit="1" customWidth="1"/>
    <col min="8197" max="8446" width="9.140625" style="69"/>
    <col min="8447" max="8447" width="15" style="69" customWidth="1"/>
    <col min="8448" max="8449" width="9.140625" style="69"/>
    <col min="8450" max="8450" width="20.85546875" style="69" bestFit="1" customWidth="1"/>
    <col min="8451" max="8451" width="25" style="69" bestFit="1" customWidth="1"/>
    <col min="8452" max="8452" width="26.28515625" style="69" bestFit="1" customWidth="1"/>
    <col min="8453" max="8702" width="9.140625" style="69"/>
    <col min="8703" max="8703" width="15" style="69" customWidth="1"/>
    <col min="8704" max="8705" width="9.140625" style="69"/>
    <col min="8706" max="8706" width="20.85546875" style="69" bestFit="1" customWidth="1"/>
    <col min="8707" max="8707" width="25" style="69" bestFit="1" customWidth="1"/>
    <col min="8708" max="8708" width="26.28515625" style="69" bestFit="1" customWidth="1"/>
    <col min="8709" max="8958" width="9.140625" style="69"/>
    <col min="8959" max="8959" width="15" style="69" customWidth="1"/>
    <col min="8960" max="8961" width="9.140625" style="69"/>
    <col min="8962" max="8962" width="20.85546875" style="69" bestFit="1" customWidth="1"/>
    <col min="8963" max="8963" width="25" style="69" bestFit="1" customWidth="1"/>
    <col min="8964" max="8964" width="26.28515625" style="69" bestFit="1" customWidth="1"/>
    <col min="8965" max="9214" width="9.140625" style="69"/>
    <col min="9215" max="9215" width="15" style="69" customWidth="1"/>
    <col min="9216" max="9217" width="9.140625" style="69"/>
    <col min="9218" max="9218" width="20.85546875" style="69" bestFit="1" customWidth="1"/>
    <col min="9219" max="9219" width="25" style="69" bestFit="1" customWidth="1"/>
    <col min="9220" max="9220" width="26.28515625" style="69" bestFit="1" customWidth="1"/>
    <col min="9221" max="9470" width="9.140625" style="69"/>
    <col min="9471" max="9471" width="15" style="69" customWidth="1"/>
    <col min="9472" max="9473" width="9.140625" style="69"/>
    <col min="9474" max="9474" width="20.85546875" style="69" bestFit="1" customWidth="1"/>
    <col min="9475" max="9475" width="25" style="69" bestFit="1" customWidth="1"/>
    <col min="9476" max="9476" width="26.28515625" style="69" bestFit="1" customWidth="1"/>
    <col min="9477" max="9726" width="9.140625" style="69"/>
    <col min="9727" max="9727" width="15" style="69" customWidth="1"/>
    <col min="9728" max="9729" width="9.140625" style="69"/>
    <col min="9730" max="9730" width="20.85546875" style="69" bestFit="1" customWidth="1"/>
    <col min="9731" max="9731" width="25" style="69" bestFit="1" customWidth="1"/>
    <col min="9732" max="9732" width="26.28515625" style="69" bestFit="1" customWidth="1"/>
    <col min="9733" max="9982" width="9.140625" style="69"/>
    <col min="9983" max="9983" width="15" style="69" customWidth="1"/>
    <col min="9984" max="9985" width="9.140625" style="69"/>
    <col min="9986" max="9986" width="20.85546875" style="69" bestFit="1" customWidth="1"/>
    <col min="9987" max="9987" width="25" style="69" bestFit="1" customWidth="1"/>
    <col min="9988" max="9988" width="26.28515625" style="69" bestFit="1" customWidth="1"/>
    <col min="9989" max="10238" width="9.140625" style="69"/>
    <col min="10239" max="10239" width="15" style="69" customWidth="1"/>
    <col min="10240" max="10241" width="9.140625" style="69"/>
    <col min="10242" max="10242" width="20.85546875" style="69" bestFit="1" customWidth="1"/>
    <col min="10243" max="10243" width="25" style="69" bestFit="1" customWidth="1"/>
    <col min="10244" max="10244" width="26.28515625" style="69" bestFit="1" customWidth="1"/>
    <col min="10245" max="10494" width="9.140625" style="69"/>
    <col min="10495" max="10495" width="15" style="69" customWidth="1"/>
    <col min="10496" max="10497" width="9.140625" style="69"/>
    <col min="10498" max="10498" width="20.85546875" style="69" bestFit="1" customWidth="1"/>
    <col min="10499" max="10499" width="25" style="69" bestFit="1" customWidth="1"/>
    <col min="10500" max="10500" width="26.28515625" style="69" bestFit="1" customWidth="1"/>
    <col min="10501" max="10750" width="9.140625" style="69"/>
    <col min="10751" max="10751" width="15" style="69" customWidth="1"/>
    <col min="10752" max="10753" width="9.140625" style="69"/>
    <col min="10754" max="10754" width="20.85546875" style="69" bestFit="1" customWidth="1"/>
    <col min="10755" max="10755" width="25" style="69" bestFit="1" customWidth="1"/>
    <col min="10756" max="10756" width="26.28515625" style="69" bestFit="1" customWidth="1"/>
    <col min="10757" max="11006" width="9.140625" style="69"/>
    <col min="11007" max="11007" width="15" style="69" customWidth="1"/>
    <col min="11008" max="11009" width="9.140625" style="69"/>
    <col min="11010" max="11010" width="20.85546875" style="69" bestFit="1" customWidth="1"/>
    <col min="11011" max="11011" width="25" style="69" bestFit="1" customWidth="1"/>
    <col min="11012" max="11012" width="26.28515625" style="69" bestFit="1" customWidth="1"/>
    <col min="11013" max="11262" width="9.140625" style="69"/>
    <col min="11263" max="11263" width="15" style="69" customWidth="1"/>
    <col min="11264" max="11265" width="9.140625" style="69"/>
    <col min="11266" max="11266" width="20.85546875" style="69" bestFit="1" customWidth="1"/>
    <col min="11267" max="11267" width="25" style="69" bestFit="1" customWidth="1"/>
    <col min="11268" max="11268" width="26.28515625" style="69" bestFit="1" customWidth="1"/>
    <col min="11269" max="11518" width="9.140625" style="69"/>
    <col min="11519" max="11519" width="15" style="69" customWidth="1"/>
    <col min="11520" max="11521" width="9.140625" style="69"/>
    <col min="11522" max="11522" width="20.85546875" style="69" bestFit="1" customWidth="1"/>
    <col min="11523" max="11523" width="25" style="69" bestFit="1" customWidth="1"/>
    <col min="11524" max="11524" width="26.28515625" style="69" bestFit="1" customWidth="1"/>
    <col min="11525" max="11774" width="9.140625" style="69"/>
    <col min="11775" max="11775" width="15" style="69" customWidth="1"/>
    <col min="11776" max="11777" width="9.140625" style="69"/>
    <col min="11778" max="11778" width="20.85546875" style="69" bestFit="1" customWidth="1"/>
    <col min="11779" max="11779" width="25" style="69" bestFit="1" customWidth="1"/>
    <col min="11780" max="11780" width="26.28515625" style="69" bestFit="1" customWidth="1"/>
    <col min="11781" max="12030" width="9.140625" style="69"/>
    <col min="12031" max="12031" width="15" style="69" customWidth="1"/>
    <col min="12032" max="12033" width="9.140625" style="69"/>
    <col min="12034" max="12034" width="20.85546875" style="69" bestFit="1" customWidth="1"/>
    <col min="12035" max="12035" width="25" style="69" bestFit="1" customWidth="1"/>
    <col min="12036" max="12036" width="26.28515625" style="69" bestFit="1" customWidth="1"/>
    <col min="12037" max="12286" width="9.140625" style="69"/>
    <col min="12287" max="12287" width="15" style="69" customWidth="1"/>
    <col min="12288" max="12289" width="9.140625" style="69"/>
    <col min="12290" max="12290" width="20.85546875" style="69" bestFit="1" customWidth="1"/>
    <col min="12291" max="12291" width="25" style="69" bestFit="1" customWidth="1"/>
    <col min="12292" max="12292" width="26.28515625" style="69" bestFit="1" customWidth="1"/>
    <col min="12293" max="12542" width="9.140625" style="69"/>
    <col min="12543" max="12543" width="15" style="69" customWidth="1"/>
    <col min="12544" max="12545" width="9.140625" style="69"/>
    <col min="12546" max="12546" width="20.85546875" style="69" bestFit="1" customWidth="1"/>
    <col min="12547" max="12547" width="25" style="69" bestFit="1" customWidth="1"/>
    <col min="12548" max="12548" width="26.28515625" style="69" bestFit="1" customWidth="1"/>
    <col min="12549" max="12798" width="9.140625" style="69"/>
    <col min="12799" max="12799" width="15" style="69" customWidth="1"/>
    <col min="12800" max="12801" width="9.140625" style="69"/>
    <col min="12802" max="12802" width="20.85546875" style="69" bestFit="1" customWidth="1"/>
    <col min="12803" max="12803" width="25" style="69" bestFit="1" customWidth="1"/>
    <col min="12804" max="12804" width="26.28515625" style="69" bestFit="1" customWidth="1"/>
    <col min="12805" max="13054" width="9.140625" style="69"/>
    <col min="13055" max="13055" width="15" style="69" customWidth="1"/>
    <col min="13056" max="13057" width="9.140625" style="69"/>
    <col min="13058" max="13058" width="20.85546875" style="69" bestFit="1" customWidth="1"/>
    <col min="13059" max="13059" width="25" style="69" bestFit="1" customWidth="1"/>
    <col min="13060" max="13060" width="26.28515625" style="69" bestFit="1" customWidth="1"/>
    <col min="13061" max="13310" width="9.140625" style="69"/>
    <col min="13311" max="13311" width="15" style="69" customWidth="1"/>
    <col min="13312" max="13313" width="9.140625" style="69"/>
    <col min="13314" max="13314" width="20.85546875" style="69" bestFit="1" customWidth="1"/>
    <col min="13315" max="13315" width="25" style="69" bestFit="1" customWidth="1"/>
    <col min="13316" max="13316" width="26.28515625" style="69" bestFit="1" customWidth="1"/>
    <col min="13317" max="13566" width="9.140625" style="69"/>
    <col min="13567" max="13567" width="15" style="69" customWidth="1"/>
    <col min="13568" max="13569" width="9.140625" style="69"/>
    <col min="13570" max="13570" width="20.85546875" style="69" bestFit="1" customWidth="1"/>
    <col min="13571" max="13571" width="25" style="69" bestFit="1" customWidth="1"/>
    <col min="13572" max="13572" width="26.28515625" style="69" bestFit="1" customWidth="1"/>
    <col min="13573" max="13822" width="9.140625" style="69"/>
    <col min="13823" max="13823" width="15" style="69" customWidth="1"/>
    <col min="13824" max="13825" width="9.140625" style="69"/>
    <col min="13826" max="13826" width="20.85546875" style="69" bestFit="1" customWidth="1"/>
    <col min="13827" max="13827" width="25" style="69" bestFit="1" customWidth="1"/>
    <col min="13828" max="13828" width="26.28515625" style="69" bestFit="1" customWidth="1"/>
    <col min="13829" max="14078" width="9.140625" style="69"/>
    <col min="14079" max="14079" width="15" style="69" customWidth="1"/>
    <col min="14080" max="14081" width="9.140625" style="69"/>
    <col min="14082" max="14082" width="20.85546875" style="69" bestFit="1" customWidth="1"/>
    <col min="14083" max="14083" width="25" style="69" bestFit="1" customWidth="1"/>
    <col min="14084" max="14084" width="26.28515625" style="69" bestFit="1" customWidth="1"/>
    <col min="14085" max="14334" width="9.140625" style="69"/>
    <col min="14335" max="14335" width="15" style="69" customWidth="1"/>
    <col min="14336" max="14337" width="9.140625" style="69"/>
    <col min="14338" max="14338" width="20.85546875" style="69" bestFit="1" customWidth="1"/>
    <col min="14339" max="14339" width="25" style="69" bestFit="1" customWidth="1"/>
    <col min="14340" max="14340" width="26.28515625" style="69" bestFit="1" customWidth="1"/>
    <col min="14341" max="14590" width="9.140625" style="69"/>
    <col min="14591" max="14591" width="15" style="69" customWidth="1"/>
    <col min="14592" max="14593" width="9.140625" style="69"/>
    <col min="14594" max="14594" width="20.85546875" style="69" bestFit="1" customWidth="1"/>
    <col min="14595" max="14595" width="25" style="69" bestFit="1" customWidth="1"/>
    <col min="14596" max="14596" width="26.28515625" style="69" bestFit="1" customWidth="1"/>
    <col min="14597" max="14846" width="9.140625" style="69"/>
    <col min="14847" max="14847" width="15" style="69" customWidth="1"/>
    <col min="14848" max="14849" width="9.140625" style="69"/>
    <col min="14850" max="14850" width="20.85546875" style="69" bestFit="1" customWidth="1"/>
    <col min="14851" max="14851" width="25" style="69" bestFit="1" customWidth="1"/>
    <col min="14852" max="14852" width="26.28515625" style="69" bestFit="1" customWidth="1"/>
    <col min="14853" max="15102" width="9.140625" style="69"/>
    <col min="15103" max="15103" width="15" style="69" customWidth="1"/>
    <col min="15104" max="15105" width="9.140625" style="69"/>
    <col min="15106" max="15106" width="20.85546875" style="69" bestFit="1" customWidth="1"/>
    <col min="15107" max="15107" width="25" style="69" bestFit="1" customWidth="1"/>
    <col min="15108" max="15108" width="26.28515625" style="69" bestFit="1" customWidth="1"/>
    <col min="15109" max="15358" width="9.140625" style="69"/>
    <col min="15359" max="15359" width="15" style="69" customWidth="1"/>
    <col min="15360" max="15361" width="9.140625" style="69"/>
    <col min="15362" max="15362" width="20.85546875" style="69" bestFit="1" customWidth="1"/>
    <col min="15363" max="15363" width="25" style="69" bestFit="1" customWidth="1"/>
    <col min="15364" max="15364" width="26.28515625" style="69" bestFit="1" customWidth="1"/>
    <col min="15365" max="15614" width="9.140625" style="69"/>
    <col min="15615" max="15615" width="15" style="69" customWidth="1"/>
    <col min="15616" max="15617" width="9.140625" style="69"/>
    <col min="15618" max="15618" width="20.85546875" style="69" bestFit="1" customWidth="1"/>
    <col min="15619" max="15619" width="25" style="69" bestFit="1" customWidth="1"/>
    <col min="15620" max="15620" width="26.28515625" style="69" bestFit="1" customWidth="1"/>
    <col min="15621" max="15870" width="9.140625" style="69"/>
    <col min="15871" max="15871" width="15" style="69" customWidth="1"/>
    <col min="15872" max="15873" width="9.140625" style="69"/>
    <col min="15874" max="15874" width="20.85546875" style="69" bestFit="1" customWidth="1"/>
    <col min="15875" max="15875" width="25" style="69" bestFit="1" customWidth="1"/>
    <col min="15876" max="15876" width="26.28515625" style="69" bestFit="1" customWidth="1"/>
    <col min="15877" max="16126" width="9.140625" style="69"/>
    <col min="16127" max="16127" width="15" style="69" customWidth="1"/>
    <col min="16128" max="16129" width="9.140625" style="69"/>
    <col min="16130" max="16130" width="20.85546875" style="69" bestFit="1" customWidth="1"/>
    <col min="16131" max="16131" width="25" style="69" bestFit="1" customWidth="1"/>
    <col min="16132" max="16132" width="26.28515625" style="69" bestFit="1" customWidth="1"/>
    <col min="16133" max="16384" width="9.140625" style="69"/>
  </cols>
  <sheetData>
    <row r="1" spans="1:8" ht="32.25" customHeight="1" x14ac:dyDescent="0.25">
      <c r="A1" s="598" t="s">
        <v>318</v>
      </c>
      <c r="B1" s="598"/>
      <c r="C1" s="598"/>
      <c r="D1" s="598"/>
      <c r="E1" s="598"/>
      <c r="F1" s="598"/>
      <c r="G1" s="598"/>
    </row>
    <row r="2" spans="1:8" ht="15.75" thickBot="1" x14ac:dyDescent="0.3">
      <c r="A2" s="143"/>
      <c r="B2" s="143"/>
      <c r="C2" s="143"/>
      <c r="D2" s="143"/>
      <c r="E2" s="143"/>
      <c r="F2" s="143"/>
      <c r="G2" s="143"/>
    </row>
    <row r="3" spans="1:8" ht="15.75" thickBot="1" x14ac:dyDescent="0.25">
      <c r="A3" s="599" t="s">
        <v>399</v>
      </c>
      <c r="B3" s="600"/>
      <c r="C3" s="600"/>
      <c r="D3" s="600"/>
      <c r="E3" s="600"/>
      <c r="F3" s="600"/>
      <c r="G3" s="601"/>
    </row>
    <row r="4" spans="1:8" ht="15" customHeight="1" x14ac:dyDescent="0.2">
      <c r="A4" s="602" t="s">
        <v>126</v>
      </c>
      <c r="B4" s="602" t="s">
        <v>352</v>
      </c>
      <c r="C4" s="602" t="s">
        <v>216</v>
      </c>
      <c r="D4" s="602" t="s">
        <v>327</v>
      </c>
      <c r="E4" s="602" t="s">
        <v>328</v>
      </c>
      <c r="F4" s="604" t="s">
        <v>207</v>
      </c>
      <c r="G4" s="602" t="s">
        <v>329</v>
      </c>
    </row>
    <row r="5" spans="1:8" ht="13.5" thickBot="1" x14ac:dyDescent="0.25">
      <c r="A5" s="603"/>
      <c r="B5" s="603"/>
      <c r="C5" s="603"/>
      <c r="D5" s="603"/>
      <c r="E5" s="603"/>
      <c r="F5" s="605"/>
      <c r="G5" s="603"/>
    </row>
    <row r="6" spans="1:8" ht="42.75" customHeight="1" x14ac:dyDescent="0.2">
      <c r="A6" s="354" t="s">
        <v>398</v>
      </c>
      <c r="B6" s="317" t="s">
        <v>221</v>
      </c>
      <c r="C6" s="317">
        <v>1</v>
      </c>
      <c r="D6" s="355">
        <v>8350</v>
      </c>
      <c r="E6" s="318">
        <f>D6*C6</f>
        <v>8350</v>
      </c>
      <c r="F6" s="319">
        <v>12</v>
      </c>
      <c r="G6" s="320">
        <f>E6/F6</f>
        <v>695.83333333333337</v>
      </c>
    </row>
    <row r="7" spans="1:8" ht="28.5" customHeight="1" thickBot="1" x14ac:dyDescent="0.25">
      <c r="A7" s="607" t="s">
        <v>222</v>
      </c>
      <c r="B7" s="608"/>
      <c r="C7" s="608"/>
      <c r="D7" s="608"/>
      <c r="E7" s="608"/>
      <c r="F7" s="608"/>
      <c r="G7" s="375">
        <v>2</v>
      </c>
    </row>
    <row r="8" spans="1:8" ht="24" customHeight="1" thickBot="1" x14ac:dyDescent="0.25">
      <c r="A8" s="609" t="s">
        <v>223</v>
      </c>
      <c r="B8" s="610"/>
      <c r="C8" s="610"/>
      <c r="D8" s="610"/>
      <c r="E8" s="610"/>
      <c r="F8" s="611"/>
      <c r="G8" s="186">
        <f>G6/G7</f>
        <v>347.91666666666669</v>
      </c>
      <c r="H8" s="301"/>
    </row>
    <row r="9" spans="1:8" ht="15.75" customHeight="1" x14ac:dyDescent="0.2">
      <c r="A9" s="606" t="s">
        <v>464</v>
      </c>
      <c r="B9" s="606"/>
      <c r="C9" s="606"/>
      <c r="D9" s="606"/>
      <c r="E9" s="606"/>
      <c r="F9" s="606"/>
      <c r="G9" s="606"/>
    </row>
    <row r="10" spans="1:8" ht="15" x14ac:dyDescent="0.25">
      <c r="A10" s="143"/>
      <c r="B10" s="143"/>
      <c r="C10" s="143"/>
      <c r="D10" s="143"/>
      <c r="E10" s="143"/>
      <c r="F10" s="143"/>
      <c r="G10" s="143"/>
    </row>
    <row r="11" spans="1:8" ht="15" x14ac:dyDescent="0.25">
      <c r="A11" s="143"/>
      <c r="B11" s="143"/>
      <c r="C11" s="143"/>
      <c r="D11" s="143"/>
      <c r="E11" s="143"/>
      <c r="F11" s="143"/>
      <c r="G11" s="143"/>
    </row>
    <row r="12" spans="1:8" ht="15" x14ac:dyDescent="0.25">
      <c r="A12" s="143"/>
      <c r="B12" s="143"/>
      <c r="C12" s="143"/>
      <c r="D12" s="143"/>
      <c r="E12" s="143"/>
      <c r="F12" s="143"/>
      <c r="G12" s="143"/>
    </row>
    <row r="13" spans="1:8" ht="15" x14ac:dyDescent="0.25">
      <c r="A13" s="143"/>
      <c r="B13" s="143"/>
      <c r="C13" s="143"/>
      <c r="D13" s="143"/>
      <c r="E13" s="143"/>
      <c r="F13" s="143"/>
      <c r="G13" s="223"/>
    </row>
  </sheetData>
  <mergeCells count="12">
    <mergeCell ref="A9:G9"/>
    <mergeCell ref="A7:F7"/>
    <mergeCell ref="A8:F8"/>
    <mergeCell ref="A1:G1"/>
    <mergeCell ref="A3:G3"/>
    <mergeCell ref="A4:A5"/>
    <mergeCell ref="B4:B5"/>
    <mergeCell ref="C4:C5"/>
    <mergeCell ref="D4:D5"/>
    <mergeCell ref="E4:E5"/>
    <mergeCell ref="F4:F5"/>
    <mergeCell ref="G4:G5"/>
  </mergeCells>
  <pageMargins left="0.511811024" right="0.511811024" top="1.6316666666666666" bottom="1.2515624999999999" header="0.31496062000000002" footer="0.31496062000000002"/>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I50"/>
  <sheetViews>
    <sheetView view="pageBreakPreview" topLeftCell="A22" zoomScale="130" zoomScaleNormal="120" zoomScaleSheetLayoutView="130" workbookViewId="0">
      <selection activeCell="A47" sqref="A47:G47"/>
    </sheetView>
  </sheetViews>
  <sheetFormatPr defaultRowHeight="12.75" x14ac:dyDescent="0.2"/>
  <cols>
    <col min="1" max="1" width="9.140625" style="180"/>
    <col min="2" max="2" width="23.85546875" style="180" customWidth="1"/>
    <col min="3" max="3" width="48.85546875" style="180" bestFit="1" customWidth="1"/>
    <col min="4" max="4" width="16.7109375" style="180" customWidth="1"/>
    <col min="5" max="5" width="13.28515625" style="180" customWidth="1"/>
    <col min="6" max="6" width="11" style="180" bestFit="1" customWidth="1"/>
    <col min="7" max="7" width="12.140625" style="180" customWidth="1"/>
    <col min="8" max="8" width="15" style="180" customWidth="1"/>
    <col min="9" max="9" width="13" style="180" customWidth="1"/>
    <col min="10" max="16384" width="9.140625" style="180"/>
  </cols>
  <sheetData>
    <row r="2" spans="1:9" ht="30" customHeight="1" x14ac:dyDescent="0.2">
      <c r="A2" s="615" t="s">
        <v>123</v>
      </c>
      <c r="B2" s="615"/>
      <c r="C2" s="379" t="s">
        <v>322</v>
      </c>
      <c r="D2" s="380" t="s">
        <v>323</v>
      </c>
      <c r="E2" s="379" t="s">
        <v>312</v>
      </c>
      <c r="F2" s="379" t="s">
        <v>209</v>
      </c>
      <c r="G2" s="379" t="s">
        <v>313</v>
      </c>
      <c r="H2" s="379" t="s">
        <v>210</v>
      </c>
      <c r="I2" s="381"/>
    </row>
    <row r="3" spans="1:9" ht="30" customHeight="1" x14ac:dyDescent="0.2">
      <c r="A3" s="616" t="s">
        <v>396</v>
      </c>
      <c r="B3" s="616"/>
      <c r="C3" s="382" t="s">
        <v>381</v>
      </c>
      <c r="D3" s="383" t="s">
        <v>324</v>
      </c>
      <c r="E3" s="367">
        <v>2</v>
      </c>
      <c r="F3" s="367">
        <f>E3*2</f>
        <v>4</v>
      </c>
      <c r="G3" s="384">
        <v>43</v>
      </c>
      <c r="H3" s="385">
        <f>G3*F3</f>
        <v>172</v>
      </c>
      <c r="I3" s="386"/>
    </row>
    <row r="4" spans="1:9" ht="25.5" x14ac:dyDescent="0.2">
      <c r="A4" s="616"/>
      <c r="B4" s="616"/>
      <c r="C4" s="387" t="s">
        <v>374</v>
      </c>
      <c r="D4" s="383" t="s">
        <v>324</v>
      </c>
      <c r="E4" s="367">
        <v>2</v>
      </c>
      <c r="F4" s="367">
        <f t="shared" ref="F4:F8" si="0">E4*2</f>
        <v>4</v>
      </c>
      <c r="G4" s="384">
        <v>36</v>
      </c>
      <c r="H4" s="385">
        <f>G4*F4</f>
        <v>144</v>
      </c>
      <c r="I4" s="386"/>
    </row>
    <row r="5" spans="1:9" ht="25.5" x14ac:dyDescent="0.2">
      <c r="A5" s="616"/>
      <c r="B5" s="616"/>
      <c r="C5" s="387" t="s">
        <v>375</v>
      </c>
      <c r="D5" s="383" t="s">
        <v>324</v>
      </c>
      <c r="E5" s="367">
        <v>1</v>
      </c>
      <c r="F5" s="367">
        <f t="shared" si="0"/>
        <v>2</v>
      </c>
      <c r="G5" s="384">
        <v>48</v>
      </c>
      <c r="H5" s="385">
        <f>G5*F5</f>
        <v>96</v>
      </c>
      <c r="I5" s="386"/>
    </row>
    <row r="6" spans="1:9" x14ac:dyDescent="0.2">
      <c r="A6" s="616"/>
      <c r="B6" s="616"/>
      <c r="C6" s="387" t="s">
        <v>376</v>
      </c>
      <c r="D6" s="383" t="s">
        <v>325</v>
      </c>
      <c r="E6" s="367">
        <v>2</v>
      </c>
      <c r="F6" s="367">
        <f t="shared" si="0"/>
        <v>4</v>
      </c>
      <c r="G6" s="384">
        <v>6</v>
      </c>
      <c r="H6" s="385">
        <f>G6*F6</f>
        <v>24</v>
      </c>
      <c r="I6" s="386"/>
    </row>
    <row r="7" spans="1:9" x14ac:dyDescent="0.2">
      <c r="A7" s="616"/>
      <c r="B7" s="616"/>
      <c r="C7" s="387" t="s">
        <v>377</v>
      </c>
      <c r="D7" s="383" t="s">
        <v>324</v>
      </c>
      <c r="E7" s="367">
        <v>1</v>
      </c>
      <c r="F7" s="367">
        <f t="shared" si="0"/>
        <v>2</v>
      </c>
      <c r="G7" s="384">
        <v>9.9</v>
      </c>
      <c r="H7" s="385">
        <f t="shared" ref="H7:H10" si="1">G7*F7</f>
        <v>19.8</v>
      </c>
      <c r="I7" s="386"/>
    </row>
    <row r="8" spans="1:9" x14ac:dyDescent="0.2">
      <c r="A8" s="616"/>
      <c r="B8" s="616"/>
      <c r="C8" s="387" t="s">
        <v>378</v>
      </c>
      <c r="D8" s="383" t="s">
        <v>324</v>
      </c>
      <c r="E8" s="367">
        <v>1</v>
      </c>
      <c r="F8" s="367">
        <f t="shared" si="0"/>
        <v>2</v>
      </c>
      <c r="G8" s="384">
        <v>17</v>
      </c>
      <c r="H8" s="385">
        <f>G8*F8</f>
        <v>34</v>
      </c>
      <c r="I8" s="386"/>
    </row>
    <row r="9" spans="1:9" x14ac:dyDescent="0.2">
      <c r="A9" s="616"/>
      <c r="B9" s="616"/>
      <c r="C9" s="387" t="s">
        <v>379</v>
      </c>
      <c r="D9" s="383" t="s">
        <v>325</v>
      </c>
      <c r="E9" s="367">
        <v>1</v>
      </c>
      <c r="F9" s="367">
        <f>E9*2</f>
        <v>2</v>
      </c>
      <c r="G9" s="384">
        <v>65</v>
      </c>
      <c r="H9" s="385">
        <f t="shared" si="1"/>
        <v>130</v>
      </c>
      <c r="I9" s="386"/>
    </row>
    <row r="10" spans="1:9" ht="25.5" x14ac:dyDescent="0.2">
      <c r="A10" s="616"/>
      <c r="B10" s="616"/>
      <c r="C10" s="387" t="s">
        <v>380</v>
      </c>
      <c r="D10" s="383" t="s">
        <v>325</v>
      </c>
      <c r="E10" s="367">
        <v>1</v>
      </c>
      <c r="F10" s="367">
        <v>1</v>
      </c>
      <c r="G10" s="384">
        <v>21</v>
      </c>
      <c r="H10" s="385">
        <f t="shared" si="1"/>
        <v>21</v>
      </c>
      <c r="I10" s="386"/>
    </row>
    <row r="11" spans="1:9" x14ac:dyDescent="0.2">
      <c r="A11" s="616"/>
      <c r="B11" s="616"/>
      <c r="C11" s="387" t="s">
        <v>448</v>
      </c>
      <c r="D11" s="383" t="s">
        <v>324</v>
      </c>
      <c r="E11" s="367">
        <v>1</v>
      </c>
      <c r="F11" s="367">
        <v>1</v>
      </c>
      <c r="G11" s="384">
        <v>6</v>
      </c>
      <c r="H11" s="385">
        <f>G11*F11</f>
        <v>6</v>
      </c>
      <c r="I11" s="386"/>
    </row>
    <row r="12" spans="1:9" x14ac:dyDescent="0.2">
      <c r="A12" s="618" t="s">
        <v>316</v>
      </c>
      <c r="B12" s="619"/>
      <c r="C12" s="619"/>
      <c r="D12" s="619"/>
      <c r="E12" s="619"/>
      <c r="F12" s="619"/>
      <c r="G12" s="620"/>
      <c r="H12" s="388">
        <f>SUM(H3:H11)</f>
        <v>646.79999999999995</v>
      </c>
      <c r="I12" s="389"/>
    </row>
    <row r="13" spans="1:9" ht="18" customHeight="1" x14ac:dyDescent="0.2">
      <c r="A13" s="621" t="s">
        <v>449</v>
      </c>
      <c r="B13" s="622"/>
      <c r="C13" s="622"/>
      <c r="D13" s="622"/>
      <c r="E13" s="622"/>
      <c r="F13" s="622"/>
      <c r="G13" s="622"/>
      <c r="H13" s="390">
        <f>H12/12</f>
        <v>53.9</v>
      </c>
      <c r="I13" s="391"/>
    </row>
    <row r="14" spans="1:9" ht="12.75" customHeight="1" x14ac:dyDescent="0.2">
      <c r="A14" s="163"/>
      <c r="B14" s="163"/>
      <c r="C14" s="163"/>
      <c r="D14" s="163"/>
      <c r="E14" s="163"/>
      <c r="F14" s="163"/>
      <c r="G14" s="163"/>
      <c r="H14" s="392"/>
      <c r="I14" s="391"/>
    </row>
    <row r="15" spans="1:9" ht="25.5" x14ac:dyDescent="0.2">
      <c r="A15" s="615" t="s">
        <v>123</v>
      </c>
      <c r="B15" s="615"/>
      <c r="C15" s="379" t="s">
        <v>322</v>
      </c>
      <c r="D15" s="379" t="s">
        <v>323</v>
      </c>
      <c r="E15" s="379" t="s">
        <v>312</v>
      </c>
      <c r="F15" s="379" t="s">
        <v>209</v>
      </c>
      <c r="G15" s="379" t="s">
        <v>313</v>
      </c>
      <c r="H15" s="379" t="s">
        <v>210</v>
      </c>
      <c r="I15" s="381"/>
    </row>
    <row r="16" spans="1:9" x14ac:dyDescent="0.2">
      <c r="A16" s="623" t="s">
        <v>364</v>
      </c>
      <c r="B16" s="624"/>
      <c r="C16" s="631" t="s">
        <v>465</v>
      </c>
      <c r="D16" s="627" t="s">
        <v>325</v>
      </c>
      <c r="E16" s="627">
        <v>2</v>
      </c>
      <c r="F16" s="627">
        <f>E16*2</f>
        <v>4</v>
      </c>
      <c r="G16" s="629">
        <v>138</v>
      </c>
      <c r="H16" s="613">
        <f>F16*G16</f>
        <v>552</v>
      </c>
      <c r="I16" s="386"/>
    </row>
    <row r="17" spans="1:9" ht="109.5" customHeight="1" x14ac:dyDescent="0.2">
      <c r="A17" s="623"/>
      <c r="B17" s="624"/>
      <c r="C17" s="632"/>
      <c r="D17" s="628"/>
      <c r="E17" s="628"/>
      <c r="F17" s="628"/>
      <c r="G17" s="630"/>
      <c r="H17" s="614"/>
      <c r="I17" s="386"/>
    </row>
    <row r="18" spans="1:9" ht="35.25" customHeight="1" x14ac:dyDescent="0.2">
      <c r="A18" s="623"/>
      <c r="B18" s="624"/>
      <c r="C18" s="393" t="s">
        <v>382</v>
      </c>
      <c r="D18" s="367" t="s">
        <v>324</v>
      </c>
      <c r="E18" s="367">
        <v>2</v>
      </c>
      <c r="F18" s="367">
        <f t="shared" ref="F18:F23" si="2">E18*2</f>
        <v>4</v>
      </c>
      <c r="G18" s="384">
        <v>12</v>
      </c>
      <c r="H18" s="385">
        <f>F18*G18</f>
        <v>48</v>
      </c>
      <c r="I18" s="386"/>
    </row>
    <row r="19" spans="1:9" ht="35.25" customHeight="1" x14ac:dyDescent="0.2">
      <c r="A19" s="623"/>
      <c r="B19" s="624"/>
      <c r="C19" s="393" t="s">
        <v>383</v>
      </c>
      <c r="D19" s="367" t="s">
        <v>324</v>
      </c>
      <c r="E19" s="367">
        <v>3</v>
      </c>
      <c r="F19" s="367">
        <f t="shared" si="2"/>
        <v>6</v>
      </c>
      <c r="G19" s="384">
        <v>35.21</v>
      </c>
      <c r="H19" s="385">
        <f>F19*G19</f>
        <v>211.26</v>
      </c>
      <c r="I19" s="386"/>
    </row>
    <row r="20" spans="1:9" ht="42.75" customHeight="1" x14ac:dyDescent="0.2">
      <c r="A20" s="623"/>
      <c r="B20" s="624"/>
      <c r="C20" s="393" t="s">
        <v>384</v>
      </c>
      <c r="D20" s="367" t="s">
        <v>325</v>
      </c>
      <c r="E20" s="367">
        <v>1</v>
      </c>
      <c r="F20" s="367">
        <f t="shared" si="2"/>
        <v>2</v>
      </c>
      <c r="G20" s="384">
        <v>10.8</v>
      </c>
      <c r="H20" s="385">
        <f t="shared" ref="H20" si="3">F20*G20</f>
        <v>21.6</v>
      </c>
      <c r="I20" s="386"/>
    </row>
    <row r="21" spans="1:9" ht="25.5" x14ac:dyDescent="0.2">
      <c r="A21" s="623"/>
      <c r="B21" s="624"/>
      <c r="C21" s="393" t="s">
        <v>387</v>
      </c>
      <c r="D21" s="367" t="s">
        <v>324</v>
      </c>
      <c r="E21" s="367">
        <v>1</v>
      </c>
      <c r="F21" s="367">
        <f t="shared" si="2"/>
        <v>2</v>
      </c>
      <c r="G21" s="384">
        <v>17.64</v>
      </c>
      <c r="H21" s="385">
        <f>F21*G21</f>
        <v>35.28</v>
      </c>
      <c r="I21" s="386"/>
    </row>
    <row r="22" spans="1:9" x14ac:dyDescent="0.2">
      <c r="A22" s="623"/>
      <c r="B22" s="624"/>
      <c r="C22" s="393" t="s">
        <v>386</v>
      </c>
      <c r="D22" s="367" t="s">
        <v>325</v>
      </c>
      <c r="E22" s="367">
        <v>3</v>
      </c>
      <c r="F22" s="367">
        <f t="shared" si="2"/>
        <v>6</v>
      </c>
      <c r="G22" s="384">
        <v>5</v>
      </c>
      <c r="H22" s="613">
        <f t="shared" ref="H22" si="4">F22*G22</f>
        <v>30</v>
      </c>
      <c r="I22" s="386"/>
    </row>
    <row r="23" spans="1:9" x14ac:dyDescent="0.2">
      <c r="A23" s="623"/>
      <c r="B23" s="624"/>
      <c r="C23" s="393" t="s">
        <v>385</v>
      </c>
      <c r="D23" s="367" t="s">
        <v>325</v>
      </c>
      <c r="E23" s="367">
        <v>2</v>
      </c>
      <c r="F23" s="367">
        <f t="shared" si="2"/>
        <v>4</v>
      </c>
      <c r="G23" s="384">
        <v>44.25</v>
      </c>
      <c r="H23" s="614"/>
      <c r="I23" s="386"/>
    </row>
    <row r="24" spans="1:9" x14ac:dyDescent="0.2">
      <c r="A24" s="625"/>
      <c r="B24" s="626"/>
      <c r="C24" s="393" t="s">
        <v>448</v>
      </c>
      <c r="D24" s="367" t="s">
        <v>324</v>
      </c>
      <c r="E24" s="367">
        <v>1</v>
      </c>
      <c r="F24" s="367">
        <v>1</v>
      </c>
      <c r="G24" s="384">
        <v>6</v>
      </c>
      <c r="H24" s="385">
        <f t="shared" ref="H24" si="5">G24*F24</f>
        <v>6</v>
      </c>
      <c r="I24" s="386"/>
    </row>
    <row r="25" spans="1:9" x14ac:dyDescent="0.2">
      <c r="A25" s="618" t="s">
        <v>316</v>
      </c>
      <c r="B25" s="619"/>
      <c r="C25" s="619"/>
      <c r="D25" s="619"/>
      <c r="E25" s="619"/>
      <c r="F25" s="619"/>
      <c r="G25" s="620"/>
      <c r="H25" s="388">
        <f>SUM(H16:H24)</f>
        <v>904.14</v>
      </c>
      <c r="I25" s="389"/>
    </row>
    <row r="26" spans="1:9" x14ac:dyDescent="0.2">
      <c r="A26" s="621" t="s">
        <v>449</v>
      </c>
      <c r="B26" s="622"/>
      <c r="C26" s="622"/>
      <c r="D26" s="622"/>
      <c r="E26" s="622"/>
      <c r="F26" s="622"/>
      <c r="G26" s="622"/>
      <c r="H26" s="390">
        <f>H25/12</f>
        <v>75.344999999999999</v>
      </c>
      <c r="I26" s="391"/>
    </row>
    <row r="27" spans="1:9" x14ac:dyDescent="0.2">
      <c r="A27" s="163"/>
      <c r="B27" s="163"/>
      <c r="C27" s="163"/>
      <c r="D27" s="163"/>
      <c r="E27" s="163"/>
      <c r="F27" s="163"/>
      <c r="G27" s="163"/>
      <c r="H27" s="392"/>
      <c r="I27" s="391"/>
    </row>
    <row r="28" spans="1:9" s="397" customFormat="1" x14ac:dyDescent="0.2">
      <c r="A28" s="394"/>
      <c r="B28" s="394"/>
      <c r="C28" s="394"/>
      <c r="D28" s="394"/>
      <c r="E28" s="394"/>
      <c r="F28" s="394"/>
      <c r="G28" s="394"/>
      <c r="H28" s="395"/>
      <c r="I28" s="396"/>
    </row>
    <row r="29" spans="1:9" s="397" customFormat="1" hidden="1" x14ac:dyDescent="0.2">
      <c r="A29" s="394" t="s">
        <v>331</v>
      </c>
      <c r="B29" s="394"/>
      <c r="C29" s="394"/>
      <c r="D29" s="394"/>
      <c r="E29" s="394"/>
      <c r="F29" s="394"/>
      <c r="G29" s="394"/>
      <c r="H29" s="395"/>
      <c r="I29" s="396"/>
    </row>
    <row r="30" spans="1:9" s="397" customFormat="1" hidden="1" x14ac:dyDescent="0.2">
      <c r="A30" s="617" t="s">
        <v>350</v>
      </c>
      <c r="B30" s="617"/>
      <c r="C30" s="617"/>
      <c r="D30" s="617"/>
      <c r="E30" s="617"/>
      <c r="F30" s="617"/>
      <c r="G30" s="617"/>
      <c r="H30" s="617"/>
      <c r="I30" s="396"/>
    </row>
    <row r="31" spans="1:9" s="397" customFormat="1" hidden="1" x14ac:dyDescent="0.2">
      <c r="A31" s="617" t="s">
        <v>351</v>
      </c>
      <c r="B31" s="617"/>
      <c r="C31" s="617"/>
      <c r="D31" s="617"/>
      <c r="E31" s="617"/>
      <c r="F31" s="617"/>
      <c r="G31" s="617"/>
      <c r="H31" s="617"/>
      <c r="I31" s="396"/>
    </row>
    <row r="32" spans="1:9" s="397" customFormat="1" hidden="1" x14ac:dyDescent="0.2">
      <c r="A32" s="617"/>
      <c r="B32" s="617"/>
      <c r="C32" s="617"/>
      <c r="D32" s="617"/>
      <c r="E32" s="617"/>
      <c r="F32" s="617"/>
      <c r="G32" s="617"/>
      <c r="H32" s="617"/>
      <c r="I32" s="396"/>
    </row>
    <row r="33" spans="1:8" s="397" customFormat="1" hidden="1" x14ac:dyDescent="0.2">
      <c r="A33" s="398" t="s">
        <v>333</v>
      </c>
    </row>
    <row r="34" spans="1:8" s="397" customFormat="1" hidden="1" x14ac:dyDescent="0.2">
      <c r="A34" s="398" t="s">
        <v>332</v>
      </c>
    </row>
    <row r="35" spans="1:8" s="397" customFormat="1" hidden="1" x14ac:dyDescent="0.2">
      <c r="A35" s="398" t="s">
        <v>334</v>
      </c>
    </row>
    <row r="36" spans="1:8" s="397" customFormat="1" hidden="1" x14ac:dyDescent="0.2">
      <c r="A36" s="398" t="s">
        <v>335</v>
      </c>
    </row>
    <row r="37" spans="1:8" s="397" customFormat="1" hidden="1" x14ac:dyDescent="0.2">
      <c r="A37" s="398" t="s">
        <v>336</v>
      </c>
    </row>
    <row r="38" spans="1:8" s="397" customFormat="1" hidden="1" x14ac:dyDescent="0.2">
      <c r="A38" s="398" t="s">
        <v>337</v>
      </c>
    </row>
    <row r="39" spans="1:8" s="397" customFormat="1" hidden="1" x14ac:dyDescent="0.2">
      <c r="A39" s="398" t="s">
        <v>338</v>
      </c>
    </row>
    <row r="40" spans="1:8" s="397" customFormat="1" hidden="1" x14ac:dyDescent="0.2"/>
    <row r="41" spans="1:8" s="397" customFormat="1" ht="25.5" x14ac:dyDescent="0.2">
      <c r="A41" s="615" t="s">
        <v>123</v>
      </c>
      <c r="B41" s="615"/>
      <c r="C41" s="379" t="s">
        <v>455</v>
      </c>
      <c r="D41" s="380" t="s">
        <v>323</v>
      </c>
      <c r="E41" s="379" t="s">
        <v>312</v>
      </c>
      <c r="F41" s="379" t="s">
        <v>209</v>
      </c>
      <c r="G41" s="379" t="s">
        <v>313</v>
      </c>
      <c r="H41" s="379" t="s">
        <v>210</v>
      </c>
    </row>
    <row r="42" spans="1:8" ht="17.25" customHeight="1" x14ac:dyDescent="0.2">
      <c r="A42" s="623" t="s">
        <v>395</v>
      </c>
      <c r="B42" s="633"/>
      <c r="C42" s="399" t="s">
        <v>451</v>
      </c>
      <c r="D42" s="383" t="s">
        <v>324</v>
      </c>
      <c r="E42" s="367">
        <v>0</v>
      </c>
      <c r="F42" s="367">
        <v>1</v>
      </c>
      <c r="G42" s="384">
        <v>220</v>
      </c>
      <c r="H42" s="385">
        <f>F42*G42</f>
        <v>220</v>
      </c>
    </row>
    <row r="43" spans="1:8" ht="19.5" customHeight="1" x14ac:dyDescent="0.2">
      <c r="A43" s="623"/>
      <c r="B43" s="633"/>
      <c r="C43" s="399" t="s">
        <v>454</v>
      </c>
      <c r="D43" s="383" t="s">
        <v>324</v>
      </c>
      <c r="E43" s="367">
        <v>0</v>
      </c>
      <c r="F43" s="367">
        <v>1</v>
      </c>
      <c r="G43" s="384">
        <v>70</v>
      </c>
      <c r="H43" s="385">
        <f t="shared" ref="H43:H46" si="6">F43*G43</f>
        <v>70</v>
      </c>
    </row>
    <row r="44" spans="1:8" ht="19.5" customHeight="1" x14ac:dyDescent="0.2">
      <c r="A44" s="623"/>
      <c r="B44" s="633"/>
      <c r="C44" s="399" t="s">
        <v>453</v>
      </c>
      <c r="D44" s="383" t="s">
        <v>324</v>
      </c>
      <c r="E44" s="367">
        <v>0</v>
      </c>
      <c r="F44" s="367">
        <v>1</v>
      </c>
      <c r="G44" s="384">
        <v>40</v>
      </c>
      <c r="H44" s="385">
        <f t="shared" si="6"/>
        <v>40</v>
      </c>
    </row>
    <row r="45" spans="1:8" ht="22.5" customHeight="1" x14ac:dyDescent="0.2">
      <c r="A45" s="623"/>
      <c r="B45" s="633"/>
      <c r="C45" s="399" t="s">
        <v>452</v>
      </c>
      <c r="D45" s="383" t="s">
        <v>325</v>
      </c>
      <c r="E45" s="367">
        <v>0</v>
      </c>
      <c r="F45" s="367">
        <v>1</v>
      </c>
      <c r="G45" s="384">
        <v>48</v>
      </c>
      <c r="H45" s="385">
        <f t="shared" si="6"/>
        <v>48</v>
      </c>
    </row>
    <row r="46" spans="1:8" ht="27" customHeight="1" x14ac:dyDescent="0.2">
      <c r="A46" s="625"/>
      <c r="B46" s="634"/>
      <c r="C46" s="399" t="s">
        <v>450</v>
      </c>
      <c r="D46" s="383" t="s">
        <v>325</v>
      </c>
      <c r="E46" s="367">
        <v>0</v>
      </c>
      <c r="F46" s="367">
        <v>1</v>
      </c>
      <c r="G46" s="384">
        <v>44</v>
      </c>
      <c r="H46" s="385">
        <f t="shared" si="6"/>
        <v>44</v>
      </c>
    </row>
    <row r="47" spans="1:8" x14ac:dyDescent="0.2">
      <c r="A47" s="618" t="s">
        <v>316</v>
      </c>
      <c r="B47" s="619"/>
      <c r="C47" s="619"/>
      <c r="D47" s="619"/>
      <c r="E47" s="619"/>
      <c r="F47" s="619"/>
      <c r="G47" s="620"/>
      <c r="H47" s="388">
        <f>SUM(H42:H46)</f>
        <v>422</v>
      </c>
    </row>
    <row r="48" spans="1:8" x14ac:dyDescent="0.2">
      <c r="A48" s="621" t="s">
        <v>449</v>
      </c>
      <c r="B48" s="622"/>
      <c r="C48" s="622"/>
      <c r="D48" s="622"/>
      <c r="E48" s="622"/>
      <c r="F48" s="622"/>
      <c r="G48" s="622"/>
      <c r="H48" s="390">
        <f>H47/12</f>
        <v>35.166666666666664</v>
      </c>
    </row>
    <row r="50" spans="1:7" x14ac:dyDescent="0.2">
      <c r="A50" s="612" t="s">
        <v>464</v>
      </c>
      <c r="B50" s="612"/>
      <c r="C50" s="612"/>
      <c r="D50" s="612"/>
      <c r="E50" s="612"/>
      <c r="F50" s="612"/>
      <c r="G50" s="612"/>
    </row>
  </sheetData>
  <mergeCells count="23">
    <mergeCell ref="D16:D17"/>
    <mergeCell ref="A42:B46"/>
    <mergeCell ref="A47:G47"/>
    <mergeCell ref="A48:G48"/>
    <mergeCell ref="A41:B41"/>
    <mergeCell ref="A31:H31"/>
    <mergeCell ref="A32:H32"/>
    <mergeCell ref="A50:G50"/>
    <mergeCell ref="H22:H23"/>
    <mergeCell ref="A2:B2"/>
    <mergeCell ref="A3:B11"/>
    <mergeCell ref="A30:H30"/>
    <mergeCell ref="A15:B15"/>
    <mergeCell ref="A12:G12"/>
    <mergeCell ref="A13:G13"/>
    <mergeCell ref="A25:G25"/>
    <mergeCell ref="A26:G26"/>
    <mergeCell ref="H16:H17"/>
    <mergeCell ref="A16:B24"/>
    <mergeCell ref="E16:E17"/>
    <mergeCell ref="F16:F17"/>
    <mergeCell ref="G16:G17"/>
    <mergeCell ref="C16:C17"/>
  </mergeCells>
  <phoneticPr fontId="46" type="noConversion"/>
  <hyperlinks>
    <hyperlink ref="A33" r:id="rId1"/>
    <hyperlink ref="A34" r:id="rId2"/>
    <hyperlink ref="A35" r:id="rId3"/>
    <hyperlink ref="A36" r:id="rId4"/>
    <hyperlink ref="A37" r:id="rId5"/>
    <hyperlink ref="A38" r:id="rId6"/>
    <hyperlink ref="A39" r:id="rId7"/>
  </hyperlinks>
  <printOptions horizontalCentered="1"/>
  <pageMargins left="0.51181102362204722" right="0.51181102362204722" top="1.1023622047244095" bottom="0.9055118110236221" header="0.31496062992125984" footer="0.31496062992125984"/>
  <pageSetup paperSize="9" scale="56" orientation="portrait"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38"/>
  <sheetViews>
    <sheetView view="pageBreakPreview" topLeftCell="A22" zoomScale="120" zoomScaleNormal="130" zoomScaleSheetLayoutView="120" workbookViewId="0">
      <selection activeCell="A11" sqref="A10:A11"/>
    </sheetView>
  </sheetViews>
  <sheetFormatPr defaultRowHeight="12.75" x14ac:dyDescent="0.2"/>
  <cols>
    <col min="1" max="1" width="73.85546875" style="69" bestFit="1" customWidth="1"/>
    <col min="2" max="3" width="9.140625" style="69"/>
    <col min="4" max="4" width="20" style="69" customWidth="1"/>
    <col min="5" max="5" width="18.7109375" style="69" customWidth="1"/>
    <col min="6" max="6" width="14.85546875" style="69" customWidth="1"/>
    <col min="7" max="7" width="19.140625" style="69" customWidth="1"/>
    <col min="8" max="254" width="9.140625" style="69"/>
    <col min="255" max="255" width="15" style="69" customWidth="1"/>
    <col min="256" max="257" width="9.140625" style="69"/>
    <col min="258" max="258" width="20.85546875" style="69" bestFit="1" customWidth="1"/>
    <col min="259" max="259" width="25" style="69" bestFit="1" customWidth="1"/>
    <col min="260" max="260" width="26.28515625" style="69" bestFit="1" customWidth="1"/>
    <col min="261" max="510" width="9.140625" style="69"/>
    <col min="511" max="511" width="15" style="69" customWidth="1"/>
    <col min="512" max="513" width="9.140625" style="69"/>
    <col min="514" max="514" width="20.85546875" style="69" bestFit="1" customWidth="1"/>
    <col min="515" max="515" width="25" style="69" bestFit="1" customWidth="1"/>
    <col min="516" max="516" width="26.28515625" style="69" bestFit="1" customWidth="1"/>
    <col min="517" max="766" width="9.140625" style="69"/>
    <col min="767" max="767" width="15" style="69" customWidth="1"/>
    <col min="768" max="769" width="9.140625" style="69"/>
    <col min="770" max="770" width="20.85546875" style="69" bestFit="1" customWidth="1"/>
    <col min="771" max="771" width="25" style="69" bestFit="1" customWidth="1"/>
    <col min="772" max="772" width="26.28515625" style="69" bestFit="1" customWidth="1"/>
    <col min="773" max="1022" width="9.140625" style="69"/>
    <col min="1023" max="1023" width="15" style="69" customWidth="1"/>
    <col min="1024" max="1025" width="9.140625" style="69"/>
    <col min="1026" max="1026" width="20.85546875" style="69" bestFit="1" customWidth="1"/>
    <col min="1027" max="1027" width="25" style="69" bestFit="1" customWidth="1"/>
    <col min="1028" max="1028" width="26.28515625" style="69" bestFit="1" customWidth="1"/>
    <col min="1029" max="1278" width="9.140625" style="69"/>
    <col min="1279" max="1279" width="15" style="69" customWidth="1"/>
    <col min="1280" max="1281" width="9.140625" style="69"/>
    <col min="1282" max="1282" width="20.85546875" style="69" bestFit="1" customWidth="1"/>
    <col min="1283" max="1283" width="25" style="69" bestFit="1" customWidth="1"/>
    <col min="1284" max="1284" width="26.28515625" style="69" bestFit="1" customWidth="1"/>
    <col min="1285" max="1534" width="9.140625" style="69"/>
    <col min="1535" max="1535" width="15" style="69" customWidth="1"/>
    <col min="1536" max="1537" width="9.140625" style="69"/>
    <col min="1538" max="1538" width="20.85546875" style="69" bestFit="1" customWidth="1"/>
    <col min="1539" max="1539" width="25" style="69" bestFit="1" customWidth="1"/>
    <col min="1540" max="1540" width="26.28515625" style="69" bestFit="1" customWidth="1"/>
    <col min="1541" max="1790" width="9.140625" style="69"/>
    <col min="1791" max="1791" width="15" style="69" customWidth="1"/>
    <col min="1792" max="1793" width="9.140625" style="69"/>
    <col min="1794" max="1794" width="20.85546875" style="69" bestFit="1" customWidth="1"/>
    <col min="1795" max="1795" width="25" style="69" bestFit="1" customWidth="1"/>
    <col min="1796" max="1796" width="26.28515625" style="69" bestFit="1" customWidth="1"/>
    <col min="1797" max="2046" width="9.140625" style="69"/>
    <col min="2047" max="2047" width="15" style="69" customWidth="1"/>
    <col min="2048" max="2049" width="9.140625" style="69"/>
    <col min="2050" max="2050" width="20.85546875" style="69" bestFit="1" customWidth="1"/>
    <col min="2051" max="2051" width="25" style="69" bestFit="1" customWidth="1"/>
    <col min="2052" max="2052" width="26.28515625" style="69" bestFit="1" customWidth="1"/>
    <col min="2053" max="2302" width="9.140625" style="69"/>
    <col min="2303" max="2303" width="15" style="69" customWidth="1"/>
    <col min="2304" max="2305" width="9.140625" style="69"/>
    <col min="2306" max="2306" width="20.85546875" style="69" bestFit="1" customWidth="1"/>
    <col min="2307" max="2307" width="25" style="69" bestFit="1" customWidth="1"/>
    <col min="2308" max="2308" width="26.28515625" style="69" bestFit="1" customWidth="1"/>
    <col min="2309" max="2558" width="9.140625" style="69"/>
    <col min="2559" max="2559" width="15" style="69" customWidth="1"/>
    <col min="2560" max="2561" width="9.140625" style="69"/>
    <col min="2562" max="2562" width="20.85546875" style="69" bestFit="1" customWidth="1"/>
    <col min="2563" max="2563" width="25" style="69" bestFit="1" customWidth="1"/>
    <col min="2564" max="2564" width="26.28515625" style="69" bestFit="1" customWidth="1"/>
    <col min="2565" max="2814" width="9.140625" style="69"/>
    <col min="2815" max="2815" width="15" style="69" customWidth="1"/>
    <col min="2816" max="2817" width="9.140625" style="69"/>
    <col min="2818" max="2818" width="20.85546875" style="69" bestFit="1" customWidth="1"/>
    <col min="2819" max="2819" width="25" style="69" bestFit="1" customWidth="1"/>
    <col min="2820" max="2820" width="26.28515625" style="69" bestFit="1" customWidth="1"/>
    <col min="2821" max="3070" width="9.140625" style="69"/>
    <col min="3071" max="3071" width="15" style="69" customWidth="1"/>
    <col min="3072" max="3073" width="9.140625" style="69"/>
    <col min="3074" max="3074" width="20.85546875" style="69" bestFit="1" customWidth="1"/>
    <col min="3075" max="3075" width="25" style="69" bestFit="1" customWidth="1"/>
    <col min="3076" max="3076" width="26.28515625" style="69" bestFit="1" customWidth="1"/>
    <col min="3077" max="3326" width="9.140625" style="69"/>
    <col min="3327" max="3327" width="15" style="69" customWidth="1"/>
    <col min="3328" max="3329" width="9.140625" style="69"/>
    <col min="3330" max="3330" width="20.85546875" style="69" bestFit="1" customWidth="1"/>
    <col min="3331" max="3331" width="25" style="69" bestFit="1" customWidth="1"/>
    <col min="3332" max="3332" width="26.28515625" style="69" bestFit="1" customWidth="1"/>
    <col min="3333" max="3582" width="9.140625" style="69"/>
    <col min="3583" max="3583" width="15" style="69" customWidth="1"/>
    <col min="3584" max="3585" width="9.140625" style="69"/>
    <col min="3586" max="3586" width="20.85546875" style="69" bestFit="1" customWidth="1"/>
    <col min="3587" max="3587" width="25" style="69" bestFit="1" customWidth="1"/>
    <col min="3588" max="3588" width="26.28515625" style="69" bestFit="1" customWidth="1"/>
    <col min="3589" max="3838" width="9.140625" style="69"/>
    <col min="3839" max="3839" width="15" style="69" customWidth="1"/>
    <col min="3840" max="3841" width="9.140625" style="69"/>
    <col min="3842" max="3842" width="20.85546875" style="69" bestFit="1" customWidth="1"/>
    <col min="3843" max="3843" width="25" style="69" bestFit="1" customWidth="1"/>
    <col min="3844" max="3844" width="26.28515625" style="69" bestFit="1" customWidth="1"/>
    <col min="3845" max="4094" width="9.140625" style="69"/>
    <col min="4095" max="4095" width="15" style="69" customWidth="1"/>
    <col min="4096" max="4097" width="9.140625" style="69"/>
    <col min="4098" max="4098" width="20.85546875" style="69" bestFit="1" customWidth="1"/>
    <col min="4099" max="4099" width="25" style="69" bestFit="1" customWidth="1"/>
    <col min="4100" max="4100" width="26.28515625" style="69" bestFit="1" customWidth="1"/>
    <col min="4101" max="4350" width="9.140625" style="69"/>
    <col min="4351" max="4351" width="15" style="69" customWidth="1"/>
    <col min="4352" max="4353" width="9.140625" style="69"/>
    <col min="4354" max="4354" width="20.85546875" style="69" bestFit="1" customWidth="1"/>
    <col min="4355" max="4355" width="25" style="69" bestFit="1" customWidth="1"/>
    <col min="4356" max="4356" width="26.28515625" style="69" bestFit="1" customWidth="1"/>
    <col min="4357" max="4606" width="9.140625" style="69"/>
    <col min="4607" max="4607" width="15" style="69" customWidth="1"/>
    <col min="4608" max="4609" width="9.140625" style="69"/>
    <col min="4610" max="4610" width="20.85546875" style="69" bestFit="1" customWidth="1"/>
    <col min="4611" max="4611" width="25" style="69" bestFit="1" customWidth="1"/>
    <col min="4612" max="4612" width="26.28515625" style="69" bestFit="1" customWidth="1"/>
    <col min="4613" max="4862" width="9.140625" style="69"/>
    <col min="4863" max="4863" width="15" style="69" customWidth="1"/>
    <col min="4864" max="4865" width="9.140625" style="69"/>
    <col min="4866" max="4866" width="20.85546875" style="69" bestFit="1" customWidth="1"/>
    <col min="4867" max="4867" width="25" style="69" bestFit="1" customWidth="1"/>
    <col min="4868" max="4868" width="26.28515625" style="69" bestFit="1" customWidth="1"/>
    <col min="4869" max="5118" width="9.140625" style="69"/>
    <col min="5119" max="5119" width="15" style="69" customWidth="1"/>
    <col min="5120" max="5121" width="9.140625" style="69"/>
    <col min="5122" max="5122" width="20.85546875" style="69" bestFit="1" customWidth="1"/>
    <col min="5123" max="5123" width="25" style="69" bestFit="1" customWidth="1"/>
    <col min="5124" max="5124" width="26.28515625" style="69" bestFit="1" customWidth="1"/>
    <col min="5125" max="5374" width="9.140625" style="69"/>
    <col min="5375" max="5375" width="15" style="69" customWidth="1"/>
    <col min="5376" max="5377" width="9.140625" style="69"/>
    <col min="5378" max="5378" width="20.85546875" style="69" bestFit="1" customWidth="1"/>
    <col min="5379" max="5379" width="25" style="69" bestFit="1" customWidth="1"/>
    <col min="5380" max="5380" width="26.28515625" style="69" bestFit="1" customWidth="1"/>
    <col min="5381" max="5630" width="9.140625" style="69"/>
    <col min="5631" max="5631" width="15" style="69" customWidth="1"/>
    <col min="5632" max="5633" width="9.140625" style="69"/>
    <col min="5634" max="5634" width="20.85546875" style="69" bestFit="1" customWidth="1"/>
    <col min="5635" max="5635" width="25" style="69" bestFit="1" customWidth="1"/>
    <col min="5636" max="5636" width="26.28515625" style="69" bestFit="1" customWidth="1"/>
    <col min="5637" max="5886" width="9.140625" style="69"/>
    <col min="5887" max="5887" width="15" style="69" customWidth="1"/>
    <col min="5888" max="5889" width="9.140625" style="69"/>
    <col min="5890" max="5890" width="20.85546875" style="69" bestFit="1" customWidth="1"/>
    <col min="5891" max="5891" width="25" style="69" bestFit="1" customWidth="1"/>
    <col min="5892" max="5892" width="26.28515625" style="69" bestFit="1" customWidth="1"/>
    <col min="5893" max="6142" width="9.140625" style="69"/>
    <col min="6143" max="6143" width="15" style="69" customWidth="1"/>
    <col min="6144" max="6145" width="9.140625" style="69"/>
    <col min="6146" max="6146" width="20.85546875" style="69" bestFit="1" customWidth="1"/>
    <col min="6147" max="6147" width="25" style="69" bestFit="1" customWidth="1"/>
    <col min="6148" max="6148" width="26.28515625" style="69" bestFit="1" customWidth="1"/>
    <col min="6149" max="6398" width="9.140625" style="69"/>
    <col min="6399" max="6399" width="15" style="69" customWidth="1"/>
    <col min="6400" max="6401" width="9.140625" style="69"/>
    <col min="6402" max="6402" width="20.85546875" style="69" bestFit="1" customWidth="1"/>
    <col min="6403" max="6403" width="25" style="69" bestFit="1" customWidth="1"/>
    <col min="6404" max="6404" width="26.28515625" style="69" bestFit="1" customWidth="1"/>
    <col min="6405" max="6654" width="9.140625" style="69"/>
    <col min="6655" max="6655" width="15" style="69" customWidth="1"/>
    <col min="6656" max="6657" width="9.140625" style="69"/>
    <col min="6658" max="6658" width="20.85546875" style="69" bestFit="1" customWidth="1"/>
    <col min="6659" max="6659" width="25" style="69" bestFit="1" customWidth="1"/>
    <col min="6660" max="6660" width="26.28515625" style="69" bestFit="1" customWidth="1"/>
    <col min="6661" max="6910" width="9.140625" style="69"/>
    <col min="6911" max="6911" width="15" style="69" customWidth="1"/>
    <col min="6912" max="6913" width="9.140625" style="69"/>
    <col min="6914" max="6914" width="20.85546875" style="69" bestFit="1" customWidth="1"/>
    <col min="6915" max="6915" width="25" style="69" bestFit="1" customWidth="1"/>
    <col min="6916" max="6916" width="26.28515625" style="69" bestFit="1" customWidth="1"/>
    <col min="6917" max="7166" width="9.140625" style="69"/>
    <col min="7167" max="7167" width="15" style="69" customWidth="1"/>
    <col min="7168" max="7169" width="9.140625" style="69"/>
    <col min="7170" max="7170" width="20.85546875" style="69" bestFit="1" customWidth="1"/>
    <col min="7171" max="7171" width="25" style="69" bestFit="1" customWidth="1"/>
    <col min="7172" max="7172" width="26.28515625" style="69" bestFit="1" customWidth="1"/>
    <col min="7173" max="7422" width="9.140625" style="69"/>
    <col min="7423" max="7423" width="15" style="69" customWidth="1"/>
    <col min="7424" max="7425" width="9.140625" style="69"/>
    <col min="7426" max="7426" width="20.85546875" style="69" bestFit="1" customWidth="1"/>
    <col min="7427" max="7427" width="25" style="69" bestFit="1" customWidth="1"/>
    <col min="7428" max="7428" width="26.28515625" style="69" bestFit="1" customWidth="1"/>
    <col min="7429" max="7678" width="9.140625" style="69"/>
    <col min="7679" max="7679" width="15" style="69" customWidth="1"/>
    <col min="7680" max="7681" width="9.140625" style="69"/>
    <col min="7682" max="7682" width="20.85546875" style="69" bestFit="1" customWidth="1"/>
    <col min="7683" max="7683" width="25" style="69" bestFit="1" customWidth="1"/>
    <col min="7684" max="7684" width="26.28515625" style="69" bestFit="1" customWidth="1"/>
    <col min="7685" max="7934" width="9.140625" style="69"/>
    <col min="7935" max="7935" width="15" style="69" customWidth="1"/>
    <col min="7936" max="7937" width="9.140625" style="69"/>
    <col min="7938" max="7938" width="20.85546875" style="69" bestFit="1" customWidth="1"/>
    <col min="7939" max="7939" width="25" style="69" bestFit="1" customWidth="1"/>
    <col min="7940" max="7940" width="26.28515625" style="69" bestFit="1" customWidth="1"/>
    <col min="7941" max="8190" width="9.140625" style="69"/>
    <col min="8191" max="8191" width="15" style="69" customWidth="1"/>
    <col min="8192" max="8193" width="9.140625" style="69"/>
    <col min="8194" max="8194" width="20.85546875" style="69" bestFit="1" customWidth="1"/>
    <col min="8195" max="8195" width="25" style="69" bestFit="1" customWidth="1"/>
    <col min="8196" max="8196" width="26.28515625" style="69" bestFit="1" customWidth="1"/>
    <col min="8197" max="8446" width="9.140625" style="69"/>
    <col min="8447" max="8447" width="15" style="69" customWidth="1"/>
    <col min="8448" max="8449" width="9.140625" style="69"/>
    <col min="8450" max="8450" width="20.85546875" style="69" bestFit="1" customWidth="1"/>
    <col min="8451" max="8451" width="25" style="69" bestFit="1" customWidth="1"/>
    <col min="8452" max="8452" width="26.28515625" style="69" bestFit="1" customWidth="1"/>
    <col min="8453" max="8702" width="9.140625" style="69"/>
    <col min="8703" max="8703" width="15" style="69" customWidth="1"/>
    <col min="8704" max="8705" width="9.140625" style="69"/>
    <col min="8706" max="8706" width="20.85546875" style="69" bestFit="1" customWidth="1"/>
    <col min="8707" max="8707" width="25" style="69" bestFit="1" customWidth="1"/>
    <col min="8708" max="8708" width="26.28515625" style="69" bestFit="1" customWidth="1"/>
    <col min="8709" max="8958" width="9.140625" style="69"/>
    <col min="8959" max="8959" width="15" style="69" customWidth="1"/>
    <col min="8960" max="8961" width="9.140625" style="69"/>
    <col min="8962" max="8962" width="20.85546875" style="69" bestFit="1" customWidth="1"/>
    <col min="8963" max="8963" width="25" style="69" bestFit="1" customWidth="1"/>
    <col min="8964" max="8964" width="26.28515625" style="69" bestFit="1" customWidth="1"/>
    <col min="8965" max="9214" width="9.140625" style="69"/>
    <col min="9215" max="9215" width="15" style="69" customWidth="1"/>
    <col min="9216" max="9217" width="9.140625" style="69"/>
    <col min="9218" max="9218" width="20.85546875" style="69" bestFit="1" customWidth="1"/>
    <col min="9219" max="9219" width="25" style="69" bestFit="1" customWidth="1"/>
    <col min="9220" max="9220" width="26.28515625" style="69" bestFit="1" customWidth="1"/>
    <col min="9221" max="9470" width="9.140625" style="69"/>
    <col min="9471" max="9471" width="15" style="69" customWidth="1"/>
    <col min="9472" max="9473" width="9.140625" style="69"/>
    <col min="9474" max="9474" width="20.85546875" style="69" bestFit="1" customWidth="1"/>
    <col min="9475" max="9475" width="25" style="69" bestFit="1" customWidth="1"/>
    <col min="9476" max="9476" width="26.28515625" style="69" bestFit="1" customWidth="1"/>
    <col min="9477" max="9726" width="9.140625" style="69"/>
    <col min="9727" max="9727" width="15" style="69" customWidth="1"/>
    <col min="9728" max="9729" width="9.140625" style="69"/>
    <col min="9730" max="9730" width="20.85546875" style="69" bestFit="1" customWidth="1"/>
    <col min="9731" max="9731" width="25" style="69" bestFit="1" customWidth="1"/>
    <col min="9732" max="9732" width="26.28515625" style="69" bestFit="1" customWidth="1"/>
    <col min="9733" max="9982" width="9.140625" style="69"/>
    <col min="9983" max="9983" width="15" style="69" customWidth="1"/>
    <col min="9984" max="9985" width="9.140625" style="69"/>
    <col min="9986" max="9986" width="20.85546875" style="69" bestFit="1" customWidth="1"/>
    <col min="9987" max="9987" width="25" style="69" bestFit="1" customWidth="1"/>
    <col min="9988" max="9988" width="26.28515625" style="69" bestFit="1" customWidth="1"/>
    <col min="9989" max="10238" width="9.140625" style="69"/>
    <col min="10239" max="10239" width="15" style="69" customWidth="1"/>
    <col min="10240" max="10241" width="9.140625" style="69"/>
    <col min="10242" max="10242" width="20.85546875" style="69" bestFit="1" customWidth="1"/>
    <col min="10243" max="10243" width="25" style="69" bestFit="1" customWidth="1"/>
    <col min="10244" max="10244" width="26.28515625" style="69" bestFit="1" customWidth="1"/>
    <col min="10245" max="10494" width="9.140625" style="69"/>
    <col min="10495" max="10495" width="15" style="69" customWidth="1"/>
    <col min="10496" max="10497" width="9.140625" style="69"/>
    <col min="10498" max="10498" width="20.85546875" style="69" bestFit="1" customWidth="1"/>
    <col min="10499" max="10499" width="25" style="69" bestFit="1" customWidth="1"/>
    <col min="10500" max="10500" width="26.28515625" style="69" bestFit="1" customWidth="1"/>
    <col min="10501" max="10750" width="9.140625" style="69"/>
    <col min="10751" max="10751" width="15" style="69" customWidth="1"/>
    <col min="10752" max="10753" width="9.140625" style="69"/>
    <col min="10754" max="10754" width="20.85546875" style="69" bestFit="1" customWidth="1"/>
    <col min="10755" max="10755" width="25" style="69" bestFit="1" customWidth="1"/>
    <col min="10756" max="10756" width="26.28515625" style="69" bestFit="1" customWidth="1"/>
    <col min="10757" max="11006" width="9.140625" style="69"/>
    <col min="11007" max="11007" width="15" style="69" customWidth="1"/>
    <col min="11008" max="11009" width="9.140625" style="69"/>
    <col min="11010" max="11010" width="20.85546875" style="69" bestFit="1" customWidth="1"/>
    <col min="11011" max="11011" width="25" style="69" bestFit="1" customWidth="1"/>
    <col min="11012" max="11012" width="26.28515625" style="69" bestFit="1" customWidth="1"/>
    <col min="11013" max="11262" width="9.140625" style="69"/>
    <col min="11263" max="11263" width="15" style="69" customWidth="1"/>
    <col min="11264" max="11265" width="9.140625" style="69"/>
    <col min="11266" max="11266" width="20.85546875" style="69" bestFit="1" customWidth="1"/>
    <col min="11267" max="11267" width="25" style="69" bestFit="1" customWidth="1"/>
    <col min="11268" max="11268" width="26.28515625" style="69" bestFit="1" customWidth="1"/>
    <col min="11269" max="11518" width="9.140625" style="69"/>
    <col min="11519" max="11519" width="15" style="69" customWidth="1"/>
    <col min="11520" max="11521" width="9.140625" style="69"/>
    <col min="11522" max="11522" width="20.85546875" style="69" bestFit="1" customWidth="1"/>
    <col min="11523" max="11523" width="25" style="69" bestFit="1" customWidth="1"/>
    <col min="11524" max="11524" width="26.28515625" style="69" bestFit="1" customWidth="1"/>
    <col min="11525" max="11774" width="9.140625" style="69"/>
    <col min="11775" max="11775" width="15" style="69" customWidth="1"/>
    <col min="11776" max="11777" width="9.140625" style="69"/>
    <col min="11778" max="11778" width="20.85546875" style="69" bestFit="1" customWidth="1"/>
    <col min="11779" max="11779" width="25" style="69" bestFit="1" customWidth="1"/>
    <col min="11780" max="11780" width="26.28515625" style="69" bestFit="1" customWidth="1"/>
    <col min="11781" max="12030" width="9.140625" style="69"/>
    <col min="12031" max="12031" width="15" style="69" customWidth="1"/>
    <col min="12032" max="12033" width="9.140625" style="69"/>
    <col min="12034" max="12034" width="20.85546875" style="69" bestFit="1" customWidth="1"/>
    <col min="12035" max="12035" width="25" style="69" bestFit="1" customWidth="1"/>
    <col min="12036" max="12036" width="26.28515625" style="69" bestFit="1" customWidth="1"/>
    <col min="12037" max="12286" width="9.140625" style="69"/>
    <col min="12287" max="12287" width="15" style="69" customWidth="1"/>
    <col min="12288" max="12289" width="9.140625" style="69"/>
    <col min="12290" max="12290" width="20.85546875" style="69" bestFit="1" customWidth="1"/>
    <col min="12291" max="12291" width="25" style="69" bestFit="1" customWidth="1"/>
    <col min="12292" max="12292" width="26.28515625" style="69" bestFit="1" customWidth="1"/>
    <col min="12293" max="12542" width="9.140625" style="69"/>
    <col min="12543" max="12543" width="15" style="69" customWidth="1"/>
    <col min="12544" max="12545" width="9.140625" style="69"/>
    <col min="12546" max="12546" width="20.85546875" style="69" bestFit="1" customWidth="1"/>
    <col min="12547" max="12547" width="25" style="69" bestFit="1" customWidth="1"/>
    <col min="12548" max="12548" width="26.28515625" style="69" bestFit="1" customWidth="1"/>
    <col min="12549" max="12798" width="9.140625" style="69"/>
    <col min="12799" max="12799" width="15" style="69" customWidth="1"/>
    <col min="12800" max="12801" width="9.140625" style="69"/>
    <col min="12802" max="12802" width="20.85546875" style="69" bestFit="1" customWidth="1"/>
    <col min="12803" max="12803" width="25" style="69" bestFit="1" customWidth="1"/>
    <col min="12804" max="12804" width="26.28515625" style="69" bestFit="1" customWidth="1"/>
    <col min="12805" max="13054" width="9.140625" style="69"/>
    <col min="13055" max="13055" width="15" style="69" customWidth="1"/>
    <col min="13056" max="13057" width="9.140625" style="69"/>
    <col min="13058" max="13058" width="20.85546875" style="69" bestFit="1" customWidth="1"/>
    <col min="13059" max="13059" width="25" style="69" bestFit="1" customWidth="1"/>
    <col min="13060" max="13060" width="26.28515625" style="69" bestFit="1" customWidth="1"/>
    <col min="13061" max="13310" width="9.140625" style="69"/>
    <col min="13311" max="13311" width="15" style="69" customWidth="1"/>
    <col min="13312" max="13313" width="9.140625" style="69"/>
    <col min="13314" max="13314" width="20.85546875" style="69" bestFit="1" customWidth="1"/>
    <col min="13315" max="13315" width="25" style="69" bestFit="1" customWidth="1"/>
    <col min="13316" max="13316" width="26.28515625" style="69" bestFit="1" customWidth="1"/>
    <col min="13317" max="13566" width="9.140625" style="69"/>
    <col min="13567" max="13567" width="15" style="69" customWidth="1"/>
    <col min="13568" max="13569" width="9.140625" style="69"/>
    <col min="13570" max="13570" width="20.85546875" style="69" bestFit="1" customWidth="1"/>
    <col min="13571" max="13571" width="25" style="69" bestFit="1" customWidth="1"/>
    <col min="13572" max="13572" width="26.28515625" style="69" bestFit="1" customWidth="1"/>
    <col min="13573" max="13822" width="9.140625" style="69"/>
    <col min="13823" max="13823" width="15" style="69" customWidth="1"/>
    <col min="13824" max="13825" width="9.140625" style="69"/>
    <col min="13826" max="13826" width="20.85546875" style="69" bestFit="1" customWidth="1"/>
    <col min="13827" max="13827" width="25" style="69" bestFit="1" customWidth="1"/>
    <col min="13828" max="13828" width="26.28515625" style="69" bestFit="1" customWidth="1"/>
    <col min="13829" max="14078" width="9.140625" style="69"/>
    <col min="14079" max="14079" width="15" style="69" customWidth="1"/>
    <col min="14080" max="14081" width="9.140625" style="69"/>
    <col min="14082" max="14082" width="20.85546875" style="69" bestFit="1" customWidth="1"/>
    <col min="14083" max="14083" width="25" style="69" bestFit="1" customWidth="1"/>
    <col min="14084" max="14084" width="26.28515625" style="69" bestFit="1" customWidth="1"/>
    <col min="14085" max="14334" width="9.140625" style="69"/>
    <col min="14335" max="14335" width="15" style="69" customWidth="1"/>
    <col min="14336" max="14337" width="9.140625" style="69"/>
    <col min="14338" max="14338" width="20.85546875" style="69" bestFit="1" customWidth="1"/>
    <col min="14339" max="14339" width="25" style="69" bestFit="1" customWidth="1"/>
    <col min="14340" max="14340" width="26.28515625" style="69" bestFit="1" customWidth="1"/>
    <col min="14341" max="14590" width="9.140625" style="69"/>
    <col min="14591" max="14591" width="15" style="69" customWidth="1"/>
    <col min="14592" max="14593" width="9.140625" style="69"/>
    <col min="14594" max="14594" width="20.85546875" style="69" bestFit="1" customWidth="1"/>
    <col min="14595" max="14595" width="25" style="69" bestFit="1" customWidth="1"/>
    <col min="14596" max="14596" width="26.28515625" style="69" bestFit="1" customWidth="1"/>
    <col min="14597" max="14846" width="9.140625" style="69"/>
    <col min="14847" max="14847" width="15" style="69" customWidth="1"/>
    <col min="14848" max="14849" width="9.140625" style="69"/>
    <col min="14850" max="14850" width="20.85546875" style="69" bestFit="1" customWidth="1"/>
    <col min="14851" max="14851" width="25" style="69" bestFit="1" customWidth="1"/>
    <col min="14852" max="14852" width="26.28515625" style="69" bestFit="1" customWidth="1"/>
    <col min="14853" max="15102" width="9.140625" style="69"/>
    <col min="15103" max="15103" width="15" style="69" customWidth="1"/>
    <col min="15104" max="15105" width="9.140625" style="69"/>
    <col min="15106" max="15106" width="20.85546875" style="69" bestFit="1" customWidth="1"/>
    <col min="15107" max="15107" width="25" style="69" bestFit="1" customWidth="1"/>
    <col min="15108" max="15108" width="26.28515625" style="69" bestFit="1" customWidth="1"/>
    <col min="15109" max="15358" width="9.140625" style="69"/>
    <col min="15359" max="15359" width="15" style="69" customWidth="1"/>
    <col min="15360" max="15361" width="9.140625" style="69"/>
    <col min="15362" max="15362" width="20.85546875" style="69" bestFit="1" customWidth="1"/>
    <col min="15363" max="15363" width="25" style="69" bestFit="1" customWidth="1"/>
    <col min="15364" max="15364" width="26.28515625" style="69" bestFit="1" customWidth="1"/>
    <col min="15365" max="15614" width="9.140625" style="69"/>
    <col min="15615" max="15615" width="15" style="69" customWidth="1"/>
    <col min="15616" max="15617" width="9.140625" style="69"/>
    <col min="15618" max="15618" width="20.85546875" style="69" bestFit="1" customWidth="1"/>
    <col min="15619" max="15619" width="25" style="69" bestFit="1" customWidth="1"/>
    <col min="15620" max="15620" width="26.28515625" style="69" bestFit="1" customWidth="1"/>
    <col min="15621" max="15870" width="9.140625" style="69"/>
    <col min="15871" max="15871" width="15" style="69" customWidth="1"/>
    <col min="15872" max="15873" width="9.140625" style="69"/>
    <col min="15874" max="15874" width="20.85546875" style="69" bestFit="1" customWidth="1"/>
    <col min="15875" max="15875" width="25" style="69" bestFit="1" customWidth="1"/>
    <col min="15876" max="15876" width="26.28515625" style="69" bestFit="1" customWidth="1"/>
    <col min="15877" max="16126" width="9.140625" style="69"/>
    <col min="16127" max="16127" width="15" style="69" customWidth="1"/>
    <col min="16128" max="16129" width="9.140625" style="69"/>
    <col min="16130" max="16130" width="20.85546875" style="69" bestFit="1" customWidth="1"/>
    <col min="16131" max="16131" width="25" style="69" bestFit="1" customWidth="1"/>
    <col min="16132" max="16132" width="26.28515625" style="69" bestFit="1" customWidth="1"/>
    <col min="16133" max="16384" width="9.140625" style="69"/>
  </cols>
  <sheetData>
    <row r="1" spans="1:8" ht="32.25" customHeight="1" x14ac:dyDescent="0.25">
      <c r="A1" s="598" t="s">
        <v>318</v>
      </c>
      <c r="B1" s="598"/>
      <c r="C1" s="598"/>
      <c r="D1" s="598"/>
      <c r="E1" s="598"/>
      <c r="F1" s="598"/>
      <c r="G1" s="598"/>
    </row>
    <row r="2" spans="1:8" ht="15.75" thickBot="1" x14ac:dyDescent="0.3">
      <c r="A2" s="143"/>
      <c r="B2" s="143"/>
      <c r="C2" s="143"/>
      <c r="D2" s="143"/>
      <c r="E2" s="143"/>
      <c r="F2" s="143"/>
      <c r="G2" s="143"/>
    </row>
    <row r="3" spans="1:8" ht="15.75" thickBot="1" x14ac:dyDescent="0.25">
      <c r="A3" s="599" t="s">
        <v>457</v>
      </c>
      <c r="B3" s="600"/>
      <c r="C3" s="600"/>
      <c r="D3" s="600"/>
      <c r="E3" s="600"/>
      <c r="F3" s="600"/>
      <c r="G3" s="601"/>
    </row>
    <row r="4" spans="1:8" ht="15" customHeight="1" x14ac:dyDescent="0.2">
      <c r="A4" s="602" t="s">
        <v>126</v>
      </c>
      <c r="B4" s="602" t="s">
        <v>352</v>
      </c>
      <c r="C4" s="602" t="s">
        <v>216</v>
      </c>
      <c r="D4" s="602" t="s">
        <v>327</v>
      </c>
      <c r="E4" s="602" t="s">
        <v>328</v>
      </c>
      <c r="F4" s="602" t="s">
        <v>415</v>
      </c>
      <c r="G4" s="602" t="s">
        <v>329</v>
      </c>
    </row>
    <row r="5" spans="1:8" ht="22.5" customHeight="1" thickBot="1" x14ac:dyDescent="0.25">
      <c r="A5" s="603"/>
      <c r="B5" s="603"/>
      <c r="C5" s="603"/>
      <c r="D5" s="603"/>
      <c r="E5" s="603"/>
      <c r="F5" s="603"/>
      <c r="G5" s="603"/>
    </row>
    <row r="6" spans="1:8" ht="42.75" customHeight="1" thickBot="1" x14ac:dyDescent="0.25">
      <c r="A6" s="316" t="s">
        <v>388</v>
      </c>
      <c r="B6" s="323" t="s">
        <v>221</v>
      </c>
      <c r="C6" s="317">
        <v>1</v>
      </c>
      <c r="D6" s="325">
        <v>897.5</v>
      </c>
      <c r="E6" s="326">
        <f>C6*D6</f>
        <v>897.5</v>
      </c>
      <c r="F6" s="327">
        <v>12</v>
      </c>
      <c r="G6" s="328">
        <f>E6/F6</f>
        <v>74.791666666666671</v>
      </c>
    </row>
    <row r="7" spans="1:8" ht="42.75" customHeight="1" thickBot="1" x14ac:dyDescent="0.25">
      <c r="A7" s="374" t="s">
        <v>389</v>
      </c>
      <c r="B7" s="324" t="s">
        <v>221</v>
      </c>
      <c r="C7" s="322">
        <v>1</v>
      </c>
      <c r="D7" s="329">
        <v>119.44</v>
      </c>
      <c r="E7" s="330">
        <f t="shared" ref="E7:E13" si="0">C7*D7</f>
        <v>119.44</v>
      </c>
      <c r="F7" s="331">
        <v>12</v>
      </c>
      <c r="G7" s="328">
        <f t="shared" ref="G7:G13" si="1">E7/F7</f>
        <v>9.9533333333333331</v>
      </c>
    </row>
    <row r="8" spans="1:8" ht="15.75" thickBot="1" x14ac:dyDescent="0.25">
      <c r="A8" s="321" t="s">
        <v>413</v>
      </c>
      <c r="B8" s="324" t="s">
        <v>221</v>
      </c>
      <c r="C8" s="322">
        <v>1</v>
      </c>
      <c r="D8" s="329">
        <v>55</v>
      </c>
      <c r="E8" s="330">
        <f t="shared" si="0"/>
        <v>55</v>
      </c>
      <c r="F8" s="331">
        <v>12</v>
      </c>
      <c r="G8" s="328">
        <f t="shared" si="1"/>
        <v>4.583333333333333</v>
      </c>
    </row>
    <row r="9" spans="1:8" ht="15.75" thickBot="1" x14ac:dyDescent="0.25">
      <c r="A9" s="321" t="s">
        <v>390</v>
      </c>
      <c r="B9" s="324" t="s">
        <v>221</v>
      </c>
      <c r="C9" s="322">
        <v>1</v>
      </c>
      <c r="D9" s="329">
        <v>28</v>
      </c>
      <c r="E9" s="330">
        <f t="shared" si="0"/>
        <v>28</v>
      </c>
      <c r="F9" s="331">
        <v>12</v>
      </c>
      <c r="G9" s="328">
        <f t="shared" si="1"/>
        <v>2.3333333333333335</v>
      </c>
    </row>
    <row r="10" spans="1:8" ht="45.75" thickBot="1" x14ac:dyDescent="0.25">
      <c r="A10" s="321" t="s">
        <v>414</v>
      </c>
      <c r="B10" s="324" t="s">
        <v>221</v>
      </c>
      <c r="C10" s="322">
        <v>1</v>
      </c>
      <c r="D10" s="332">
        <v>422.8</v>
      </c>
      <c r="E10" s="330">
        <f t="shared" si="0"/>
        <v>422.8</v>
      </c>
      <c r="F10" s="331">
        <v>12</v>
      </c>
      <c r="G10" s="328">
        <f t="shared" si="1"/>
        <v>35.233333333333334</v>
      </c>
    </row>
    <row r="11" spans="1:8" ht="15.75" thickBot="1" x14ac:dyDescent="0.25">
      <c r="A11" s="321" t="s">
        <v>391</v>
      </c>
      <c r="B11" s="324" t="s">
        <v>221</v>
      </c>
      <c r="C11" s="322">
        <v>1</v>
      </c>
      <c r="D11" s="329">
        <v>2059.67</v>
      </c>
      <c r="E11" s="330">
        <f t="shared" si="0"/>
        <v>2059.67</v>
      </c>
      <c r="F11" s="331">
        <v>12</v>
      </c>
      <c r="G11" s="328">
        <f t="shared" si="1"/>
        <v>171.63916666666668</v>
      </c>
    </row>
    <row r="12" spans="1:8" ht="15.75" thickBot="1" x14ac:dyDescent="0.25">
      <c r="A12" s="321" t="s">
        <v>393</v>
      </c>
      <c r="B12" s="324" t="s">
        <v>221</v>
      </c>
      <c r="C12" s="322">
        <v>1</v>
      </c>
      <c r="D12" s="329">
        <v>39.31</v>
      </c>
      <c r="E12" s="333">
        <f t="shared" si="0"/>
        <v>39.31</v>
      </c>
      <c r="F12" s="334">
        <v>12</v>
      </c>
      <c r="G12" s="328">
        <f t="shared" si="1"/>
        <v>3.2758333333333334</v>
      </c>
    </row>
    <row r="13" spans="1:8" ht="15.75" thickBot="1" x14ac:dyDescent="0.25">
      <c r="A13" s="346" t="s">
        <v>392</v>
      </c>
      <c r="B13" s="347" t="s">
        <v>221</v>
      </c>
      <c r="C13" s="348">
        <v>1</v>
      </c>
      <c r="D13" s="349">
        <v>5.5</v>
      </c>
      <c r="E13" s="350">
        <f t="shared" si="0"/>
        <v>5.5</v>
      </c>
      <c r="F13" s="351">
        <v>12</v>
      </c>
      <c r="G13" s="352">
        <f t="shared" si="1"/>
        <v>0.45833333333333331</v>
      </c>
    </row>
    <row r="14" spans="1:8" ht="21" customHeight="1" thickBot="1" x14ac:dyDescent="0.25">
      <c r="A14" s="635" t="s">
        <v>416</v>
      </c>
      <c r="B14" s="635"/>
      <c r="C14" s="635"/>
      <c r="D14" s="635"/>
      <c r="E14" s="635"/>
      <c r="F14" s="635"/>
      <c r="G14" s="353">
        <f>SUM(G6:G13)</f>
        <v>302.26833333333332</v>
      </c>
    </row>
    <row r="15" spans="1:8" ht="19.5" customHeight="1" thickBot="1" x14ac:dyDescent="0.25">
      <c r="A15" s="635" t="s">
        <v>222</v>
      </c>
      <c r="B15" s="635"/>
      <c r="C15" s="635"/>
      <c r="D15" s="635"/>
      <c r="E15" s="635"/>
      <c r="F15" s="635"/>
      <c r="G15" s="353">
        <v>70</v>
      </c>
    </row>
    <row r="16" spans="1:8" ht="25.5" customHeight="1" thickBot="1" x14ac:dyDescent="0.25">
      <c r="A16" s="637" t="s">
        <v>223</v>
      </c>
      <c r="B16" s="635"/>
      <c r="C16" s="635"/>
      <c r="D16" s="635"/>
      <c r="E16" s="635"/>
      <c r="F16" s="638"/>
      <c r="G16" s="186">
        <f>G14/G15</f>
        <v>4.3181190476190476</v>
      </c>
      <c r="H16" s="313"/>
    </row>
    <row r="17" spans="1:8" ht="25.5" customHeight="1" thickBot="1" x14ac:dyDescent="0.25">
      <c r="A17" s="599" t="s">
        <v>458</v>
      </c>
      <c r="B17" s="600"/>
      <c r="C17" s="600"/>
      <c r="D17" s="600"/>
      <c r="E17" s="600"/>
      <c r="F17" s="600"/>
      <c r="G17" s="601"/>
      <c r="H17" s="315"/>
    </row>
    <row r="18" spans="1:8" ht="25.5" customHeight="1" x14ac:dyDescent="0.2">
      <c r="A18" s="602" t="s">
        <v>126</v>
      </c>
      <c r="B18" s="602" t="s">
        <v>352</v>
      </c>
      <c r="C18" s="602" t="s">
        <v>216</v>
      </c>
      <c r="D18" s="602" t="s">
        <v>327</v>
      </c>
      <c r="E18" s="602" t="s">
        <v>328</v>
      </c>
      <c r="F18" s="602" t="s">
        <v>415</v>
      </c>
      <c r="G18" s="602" t="s">
        <v>329</v>
      </c>
      <c r="H18" s="315"/>
    </row>
    <row r="19" spans="1:8" ht="25.5" customHeight="1" thickBot="1" x14ac:dyDescent="0.25">
      <c r="A19" s="603"/>
      <c r="B19" s="603"/>
      <c r="C19" s="603"/>
      <c r="D19" s="603"/>
      <c r="E19" s="603"/>
      <c r="F19" s="603"/>
      <c r="G19" s="603"/>
      <c r="H19" s="315"/>
    </row>
    <row r="20" spans="1:8" ht="40.5" customHeight="1" thickBot="1" x14ac:dyDescent="0.25">
      <c r="A20" s="316" t="s">
        <v>388</v>
      </c>
      <c r="B20" s="323" t="s">
        <v>221</v>
      </c>
      <c r="C20" s="317">
        <v>1</v>
      </c>
      <c r="D20" s="325">
        <v>897.5</v>
      </c>
      <c r="E20" s="326">
        <f>C20*D20</f>
        <v>897.5</v>
      </c>
      <c r="F20" s="327">
        <v>12</v>
      </c>
      <c r="G20" s="328">
        <f>E20/F20</f>
        <v>74.791666666666671</v>
      </c>
    </row>
    <row r="21" spans="1:8" ht="23.25" customHeight="1" thickBot="1" x14ac:dyDescent="0.25">
      <c r="A21" s="321" t="s">
        <v>413</v>
      </c>
      <c r="B21" s="324" t="s">
        <v>221</v>
      </c>
      <c r="C21" s="322">
        <v>1</v>
      </c>
      <c r="D21" s="329">
        <v>55</v>
      </c>
      <c r="E21" s="330">
        <f t="shared" ref="E21:E24" si="2">C21*D21</f>
        <v>55</v>
      </c>
      <c r="F21" s="331">
        <v>12</v>
      </c>
      <c r="G21" s="328">
        <f t="shared" ref="G21:G24" si="3">E21/F21</f>
        <v>4.583333333333333</v>
      </c>
    </row>
    <row r="22" spans="1:8" ht="19.5" customHeight="1" thickBot="1" x14ac:dyDescent="0.25">
      <c r="A22" s="321" t="s">
        <v>390</v>
      </c>
      <c r="B22" s="324" t="s">
        <v>221</v>
      </c>
      <c r="C22" s="322">
        <v>1</v>
      </c>
      <c r="D22" s="329">
        <v>28</v>
      </c>
      <c r="E22" s="330">
        <f t="shared" si="2"/>
        <v>28</v>
      </c>
      <c r="F22" s="331">
        <v>12</v>
      </c>
      <c r="G22" s="328">
        <f t="shared" si="3"/>
        <v>2.3333333333333335</v>
      </c>
    </row>
    <row r="23" spans="1:8" ht="15.75" thickBot="1" x14ac:dyDescent="0.25">
      <c r="A23" s="321" t="s">
        <v>393</v>
      </c>
      <c r="B23" s="324" t="s">
        <v>221</v>
      </c>
      <c r="C23" s="322">
        <v>1</v>
      </c>
      <c r="D23" s="329">
        <v>39.31</v>
      </c>
      <c r="E23" s="333">
        <f t="shared" si="2"/>
        <v>39.31</v>
      </c>
      <c r="F23" s="334">
        <v>12</v>
      </c>
      <c r="G23" s="328">
        <f t="shared" si="3"/>
        <v>3.2758333333333334</v>
      </c>
    </row>
    <row r="24" spans="1:8" ht="15.75" thickBot="1" x14ac:dyDescent="0.25">
      <c r="A24" s="346" t="s">
        <v>392</v>
      </c>
      <c r="B24" s="347" t="s">
        <v>221</v>
      </c>
      <c r="C24" s="348">
        <v>1</v>
      </c>
      <c r="D24" s="349">
        <v>5.5</v>
      </c>
      <c r="E24" s="350">
        <f t="shared" si="2"/>
        <v>5.5</v>
      </c>
      <c r="F24" s="351">
        <v>12</v>
      </c>
      <c r="G24" s="352">
        <f t="shared" si="3"/>
        <v>0.45833333333333331</v>
      </c>
    </row>
    <row r="25" spans="1:8" ht="15.75" thickBot="1" x14ac:dyDescent="0.25">
      <c r="A25" s="635" t="s">
        <v>416</v>
      </c>
      <c r="B25" s="635"/>
      <c r="C25" s="635"/>
      <c r="D25" s="635"/>
      <c r="E25" s="635"/>
      <c r="F25" s="635"/>
      <c r="G25" s="353">
        <f>SUM(G20:G24)</f>
        <v>85.442499999999995</v>
      </c>
    </row>
    <row r="26" spans="1:8" ht="15.75" thickBot="1" x14ac:dyDescent="0.25">
      <c r="A26" s="635" t="s">
        <v>222</v>
      </c>
      <c r="B26" s="635"/>
      <c r="C26" s="635"/>
      <c r="D26" s="635"/>
      <c r="E26" s="635"/>
      <c r="F26" s="635"/>
      <c r="G26" s="353">
        <v>3</v>
      </c>
    </row>
    <row r="27" spans="1:8" ht="15.75" thickBot="1" x14ac:dyDescent="0.25">
      <c r="A27" s="637" t="s">
        <v>223</v>
      </c>
      <c r="B27" s="635"/>
      <c r="C27" s="635"/>
      <c r="D27" s="635"/>
      <c r="E27" s="635"/>
      <c r="F27" s="638"/>
      <c r="G27" s="186">
        <f>G25/G26</f>
        <v>28.480833333333333</v>
      </c>
    </row>
    <row r="28" spans="1:8" ht="15" x14ac:dyDescent="0.2">
      <c r="A28" s="373"/>
      <c r="B28" s="373"/>
      <c r="C28" s="373"/>
      <c r="D28" s="373"/>
      <c r="E28" s="373"/>
      <c r="F28" s="373"/>
      <c r="G28" s="372"/>
    </row>
    <row r="29" spans="1:8" ht="15.75" thickBot="1" x14ac:dyDescent="0.3">
      <c r="A29" s="143"/>
      <c r="B29" s="143"/>
      <c r="C29" s="143"/>
      <c r="D29" s="143"/>
      <c r="E29" s="143"/>
      <c r="F29" s="143"/>
      <c r="G29" s="143"/>
    </row>
    <row r="30" spans="1:8" ht="15.75" thickBot="1" x14ac:dyDescent="0.25">
      <c r="A30" s="599" t="s">
        <v>446</v>
      </c>
      <c r="B30" s="600"/>
      <c r="C30" s="600"/>
      <c r="D30" s="600"/>
      <c r="E30" s="600"/>
      <c r="F30" s="600"/>
      <c r="G30" s="601"/>
    </row>
    <row r="31" spans="1:8" x14ac:dyDescent="0.2">
      <c r="A31" s="602" t="s">
        <v>126</v>
      </c>
      <c r="B31" s="602" t="s">
        <v>352</v>
      </c>
      <c r="C31" s="602" t="s">
        <v>216</v>
      </c>
      <c r="D31" s="602" t="s">
        <v>327</v>
      </c>
      <c r="E31" s="602" t="s">
        <v>328</v>
      </c>
      <c r="F31" s="602" t="s">
        <v>415</v>
      </c>
      <c r="G31" s="602" t="s">
        <v>329</v>
      </c>
    </row>
    <row r="32" spans="1:8" ht="13.5" thickBot="1" x14ac:dyDescent="0.25">
      <c r="A32" s="603"/>
      <c r="B32" s="603"/>
      <c r="C32" s="603"/>
      <c r="D32" s="603"/>
      <c r="E32" s="603"/>
      <c r="F32" s="603"/>
      <c r="G32" s="603"/>
    </row>
    <row r="33" spans="1:7" ht="30.75" thickBot="1" x14ac:dyDescent="0.25">
      <c r="A33" s="316" t="s">
        <v>388</v>
      </c>
      <c r="B33" s="323" t="s">
        <v>221</v>
      </c>
      <c r="C33" s="317">
        <v>1</v>
      </c>
      <c r="D33" s="325">
        <v>897.5</v>
      </c>
      <c r="E33" s="326">
        <f>C33*D33</f>
        <v>897.5</v>
      </c>
      <c r="F33" s="327">
        <v>12</v>
      </c>
      <c r="G33" s="328">
        <f>E33/F33</f>
        <v>74.791666666666671</v>
      </c>
    </row>
    <row r="34" spans="1:7" ht="15.75" thickBot="1" x14ac:dyDescent="0.25">
      <c r="A34" s="635" t="s">
        <v>416</v>
      </c>
      <c r="B34" s="635"/>
      <c r="C34" s="635"/>
      <c r="D34" s="635"/>
      <c r="E34" s="635"/>
      <c r="F34" s="636"/>
      <c r="G34" s="353">
        <f>SUM(G33:G33)</f>
        <v>74.791666666666671</v>
      </c>
    </row>
    <row r="35" spans="1:7" ht="15.75" thickBot="1" x14ac:dyDescent="0.25">
      <c r="A35" s="635" t="s">
        <v>445</v>
      </c>
      <c r="B35" s="635"/>
      <c r="C35" s="635"/>
      <c r="D35" s="635"/>
      <c r="E35" s="635"/>
      <c r="F35" s="636"/>
      <c r="G35" s="353">
        <v>2</v>
      </c>
    </row>
    <row r="36" spans="1:7" ht="15.75" thickBot="1" x14ac:dyDescent="0.25">
      <c r="A36" s="637" t="s">
        <v>223</v>
      </c>
      <c r="B36" s="635"/>
      <c r="C36" s="635"/>
      <c r="D36" s="635"/>
      <c r="E36" s="635"/>
      <c r="F36" s="638"/>
      <c r="G36" s="186">
        <f>G34/G35</f>
        <v>37.395833333333336</v>
      </c>
    </row>
    <row r="38" spans="1:7" x14ac:dyDescent="0.2">
      <c r="A38" s="408" t="s">
        <v>464</v>
      </c>
    </row>
  </sheetData>
  <mergeCells count="34">
    <mergeCell ref="A25:F25"/>
    <mergeCell ref="A26:F26"/>
    <mergeCell ref="C18:C19"/>
    <mergeCell ref="D18:D19"/>
    <mergeCell ref="E18:E19"/>
    <mergeCell ref="F18:F19"/>
    <mergeCell ref="G18:G19"/>
    <mergeCell ref="A14:F14"/>
    <mergeCell ref="A15:F15"/>
    <mergeCell ref="A1:G1"/>
    <mergeCell ref="A3:G3"/>
    <mergeCell ref="A4:A5"/>
    <mergeCell ref="B4:B5"/>
    <mergeCell ref="C4:C5"/>
    <mergeCell ref="D4:D5"/>
    <mergeCell ref="E4:E5"/>
    <mergeCell ref="F4:F5"/>
    <mergeCell ref="G4:G5"/>
    <mergeCell ref="A34:F34"/>
    <mergeCell ref="A35:F35"/>
    <mergeCell ref="A36:F36"/>
    <mergeCell ref="A16:F16"/>
    <mergeCell ref="A30:G30"/>
    <mergeCell ref="A31:A32"/>
    <mergeCell ref="B31:B32"/>
    <mergeCell ref="C31:C32"/>
    <mergeCell ref="D31:D32"/>
    <mergeCell ref="E31:E32"/>
    <mergeCell ref="F31:F32"/>
    <mergeCell ref="G31:G32"/>
    <mergeCell ref="A27:F27"/>
    <mergeCell ref="A17:G17"/>
    <mergeCell ref="A18:A19"/>
    <mergeCell ref="B18:B19"/>
  </mergeCells>
  <pageMargins left="0.511811024" right="0.511811024" top="1.6316666666666666" bottom="1.2515624999999999" header="0.31496062000000002" footer="0.31496062000000002"/>
  <pageSetup paperSize="9" scale="5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T80"/>
  <sheetViews>
    <sheetView view="pageBreakPreview" topLeftCell="A58" zoomScale="120" zoomScaleNormal="100" zoomScaleSheetLayoutView="120" workbookViewId="0">
      <selection activeCell="A72" sqref="A72:D72"/>
    </sheetView>
  </sheetViews>
  <sheetFormatPr defaultRowHeight="12.75" x14ac:dyDescent="0.2"/>
  <cols>
    <col min="1" max="1" width="4.7109375" style="224" customWidth="1"/>
    <col min="2" max="2" width="41.42578125" style="224" customWidth="1"/>
    <col min="3" max="3" width="10.7109375" style="224" bestFit="1" customWidth="1"/>
    <col min="4" max="4" width="73.42578125" style="224" customWidth="1"/>
    <col min="5" max="5" width="12.140625" style="224" hidden="1" customWidth="1"/>
    <col min="6" max="6" width="11.85546875" style="225" hidden="1" customWidth="1"/>
    <col min="7" max="7" width="15.42578125" style="225" hidden="1" customWidth="1"/>
    <col min="8" max="8" width="16" style="225" hidden="1" customWidth="1"/>
    <col min="9" max="11" width="0" style="225" hidden="1" customWidth="1"/>
    <col min="12" max="12" width="5" style="225" customWidth="1"/>
    <col min="13" max="254" width="9.140625" style="225"/>
    <col min="255" max="255" width="4.7109375" style="225" customWidth="1"/>
    <col min="256" max="256" width="38.28515625" style="225" customWidth="1"/>
    <col min="257" max="257" width="10.7109375" style="225" bestFit="1" customWidth="1"/>
    <col min="258" max="258" width="69.140625" style="225" customWidth="1"/>
    <col min="259" max="266" width="0" style="225" hidden="1" customWidth="1"/>
    <col min="267" max="267" width="9.85546875" style="225" customWidth="1"/>
    <col min="268" max="268" width="79.140625" style="225" customWidth="1"/>
    <col min="269" max="510" width="9.140625" style="225"/>
    <col min="511" max="511" width="4.7109375" style="225" customWidth="1"/>
    <col min="512" max="512" width="38.28515625" style="225" customWidth="1"/>
    <col min="513" max="513" width="10.7109375" style="225" bestFit="1" customWidth="1"/>
    <col min="514" max="514" width="69.140625" style="225" customWidth="1"/>
    <col min="515" max="522" width="0" style="225" hidden="1" customWidth="1"/>
    <col min="523" max="523" width="9.85546875" style="225" customWidth="1"/>
    <col min="524" max="524" width="79.140625" style="225" customWidth="1"/>
    <col min="525" max="766" width="9.140625" style="225"/>
    <col min="767" max="767" width="4.7109375" style="225" customWidth="1"/>
    <col min="768" max="768" width="38.28515625" style="225" customWidth="1"/>
    <col min="769" max="769" width="10.7109375" style="225" bestFit="1" customWidth="1"/>
    <col min="770" max="770" width="69.140625" style="225" customWidth="1"/>
    <col min="771" max="778" width="0" style="225" hidden="1" customWidth="1"/>
    <col min="779" max="779" width="9.85546875" style="225" customWidth="1"/>
    <col min="780" max="780" width="79.140625" style="225" customWidth="1"/>
    <col min="781" max="1022" width="9.140625" style="225"/>
    <col min="1023" max="1023" width="4.7109375" style="225" customWidth="1"/>
    <col min="1024" max="1024" width="38.28515625" style="225" customWidth="1"/>
    <col min="1025" max="1025" width="10.7109375" style="225" bestFit="1" customWidth="1"/>
    <col min="1026" max="1026" width="69.140625" style="225" customWidth="1"/>
    <col min="1027" max="1034" width="0" style="225" hidden="1" customWidth="1"/>
    <col min="1035" max="1035" width="9.85546875" style="225" customWidth="1"/>
    <col min="1036" max="1036" width="79.140625" style="225" customWidth="1"/>
    <col min="1037" max="1278" width="9.140625" style="225"/>
    <col min="1279" max="1279" width="4.7109375" style="225" customWidth="1"/>
    <col min="1280" max="1280" width="38.28515625" style="225" customWidth="1"/>
    <col min="1281" max="1281" width="10.7109375" style="225" bestFit="1" customWidth="1"/>
    <col min="1282" max="1282" width="69.140625" style="225" customWidth="1"/>
    <col min="1283" max="1290" width="0" style="225" hidden="1" customWidth="1"/>
    <col min="1291" max="1291" width="9.85546875" style="225" customWidth="1"/>
    <col min="1292" max="1292" width="79.140625" style="225" customWidth="1"/>
    <col min="1293" max="1534" width="9.140625" style="225"/>
    <col min="1535" max="1535" width="4.7109375" style="225" customWidth="1"/>
    <col min="1536" max="1536" width="38.28515625" style="225" customWidth="1"/>
    <col min="1537" max="1537" width="10.7109375" style="225" bestFit="1" customWidth="1"/>
    <col min="1538" max="1538" width="69.140625" style="225" customWidth="1"/>
    <col min="1539" max="1546" width="0" style="225" hidden="1" customWidth="1"/>
    <col min="1547" max="1547" width="9.85546875" style="225" customWidth="1"/>
    <col min="1548" max="1548" width="79.140625" style="225" customWidth="1"/>
    <col min="1549" max="1790" width="9.140625" style="225"/>
    <col min="1791" max="1791" width="4.7109375" style="225" customWidth="1"/>
    <col min="1792" max="1792" width="38.28515625" style="225" customWidth="1"/>
    <col min="1793" max="1793" width="10.7109375" style="225" bestFit="1" customWidth="1"/>
    <col min="1794" max="1794" width="69.140625" style="225" customWidth="1"/>
    <col min="1795" max="1802" width="0" style="225" hidden="1" customWidth="1"/>
    <col min="1803" max="1803" width="9.85546875" style="225" customWidth="1"/>
    <col min="1804" max="1804" width="79.140625" style="225" customWidth="1"/>
    <col min="1805" max="2046" width="9.140625" style="225"/>
    <col min="2047" max="2047" width="4.7109375" style="225" customWidth="1"/>
    <col min="2048" max="2048" width="38.28515625" style="225" customWidth="1"/>
    <col min="2049" max="2049" width="10.7109375" style="225" bestFit="1" customWidth="1"/>
    <col min="2050" max="2050" width="69.140625" style="225" customWidth="1"/>
    <col min="2051" max="2058" width="0" style="225" hidden="1" customWidth="1"/>
    <col min="2059" max="2059" width="9.85546875" style="225" customWidth="1"/>
    <col min="2060" max="2060" width="79.140625" style="225" customWidth="1"/>
    <col min="2061" max="2302" width="9.140625" style="225"/>
    <col min="2303" max="2303" width="4.7109375" style="225" customWidth="1"/>
    <col min="2304" max="2304" width="38.28515625" style="225" customWidth="1"/>
    <col min="2305" max="2305" width="10.7109375" style="225" bestFit="1" customWidth="1"/>
    <col min="2306" max="2306" width="69.140625" style="225" customWidth="1"/>
    <col min="2307" max="2314" width="0" style="225" hidden="1" customWidth="1"/>
    <col min="2315" max="2315" width="9.85546875" style="225" customWidth="1"/>
    <col min="2316" max="2316" width="79.140625" style="225" customWidth="1"/>
    <col min="2317" max="2558" width="9.140625" style="225"/>
    <col min="2559" max="2559" width="4.7109375" style="225" customWidth="1"/>
    <col min="2560" max="2560" width="38.28515625" style="225" customWidth="1"/>
    <col min="2561" max="2561" width="10.7109375" style="225" bestFit="1" customWidth="1"/>
    <col min="2562" max="2562" width="69.140625" style="225" customWidth="1"/>
    <col min="2563" max="2570" width="0" style="225" hidden="1" customWidth="1"/>
    <col min="2571" max="2571" width="9.85546875" style="225" customWidth="1"/>
    <col min="2572" max="2572" width="79.140625" style="225" customWidth="1"/>
    <col min="2573" max="2814" width="9.140625" style="225"/>
    <col min="2815" max="2815" width="4.7109375" style="225" customWidth="1"/>
    <col min="2816" max="2816" width="38.28515625" style="225" customWidth="1"/>
    <col min="2817" max="2817" width="10.7109375" style="225" bestFit="1" customWidth="1"/>
    <col min="2818" max="2818" width="69.140625" style="225" customWidth="1"/>
    <col min="2819" max="2826" width="0" style="225" hidden="1" customWidth="1"/>
    <col min="2827" max="2827" width="9.85546875" style="225" customWidth="1"/>
    <col min="2828" max="2828" width="79.140625" style="225" customWidth="1"/>
    <col min="2829" max="3070" width="9.140625" style="225"/>
    <col min="3071" max="3071" width="4.7109375" style="225" customWidth="1"/>
    <col min="3072" max="3072" width="38.28515625" style="225" customWidth="1"/>
    <col min="3073" max="3073" width="10.7109375" style="225" bestFit="1" customWidth="1"/>
    <col min="3074" max="3074" width="69.140625" style="225" customWidth="1"/>
    <col min="3075" max="3082" width="0" style="225" hidden="1" customWidth="1"/>
    <col min="3083" max="3083" width="9.85546875" style="225" customWidth="1"/>
    <col min="3084" max="3084" width="79.140625" style="225" customWidth="1"/>
    <col min="3085" max="3326" width="9.140625" style="225"/>
    <col min="3327" max="3327" width="4.7109375" style="225" customWidth="1"/>
    <col min="3328" max="3328" width="38.28515625" style="225" customWidth="1"/>
    <col min="3329" max="3329" width="10.7109375" style="225" bestFit="1" customWidth="1"/>
    <col min="3330" max="3330" width="69.140625" style="225" customWidth="1"/>
    <col min="3331" max="3338" width="0" style="225" hidden="1" customWidth="1"/>
    <col min="3339" max="3339" width="9.85546875" style="225" customWidth="1"/>
    <col min="3340" max="3340" width="79.140625" style="225" customWidth="1"/>
    <col min="3341" max="3582" width="9.140625" style="225"/>
    <col min="3583" max="3583" width="4.7109375" style="225" customWidth="1"/>
    <col min="3584" max="3584" width="38.28515625" style="225" customWidth="1"/>
    <col min="3585" max="3585" width="10.7109375" style="225" bestFit="1" customWidth="1"/>
    <col min="3586" max="3586" width="69.140625" style="225" customWidth="1"/>
    <col min="3587" max="3594" width="0" style="225" hidden="1" customWidth="1"/>
    <col min="3595" max="3595" width="9.85546875" style="225" customWidth="1"/>
    <col min="3596" max="3596" width="79.140625" style="225" customWidth="1"/>
    <col min="3597" max="3838" width="9.140625" style="225"/>
    <col min="3839" max="3839" width="4.7109375" style="225" customWidth="1"/>
    <col min="3840" max="3840" width="38.28515625" style="225" customWidth="1"/>
    <col min="3841" max="3841" width="10.7109375" style="225" bestFit="1" customWidth="1"/>
    <col min="3842" max="3842" width="69.140625" style="225" customWidth="1"/>
    <col min="3843" max="3850" width="0" style="225" hidden="1" customWidth="1"/>
    <col min="3851" max="3851" width="9.85546875" style="225" customWidth="1"/>
    <col min="3852" max="3852" width="79.140625" style="225" customWidth="1"/>
    <col min="3853" max="4094" width="9.140625" style="225"/>
    <col min="4095" max="4095" width="4.7109375" style="225" customWidth="1"/>
    <col min="4096" max="4096" width="38.28515625" style="225" customWidth="1"/>
    <col min="4097" max="4097" width="10.7109375" style="225" bestFit="1" customWidth="1"/>
    <col min="4098" max="4098" width="69.140625" style="225" customWidth="1"/>
    <col min="4099" max="4106" width="0" style="225" hidden="1" customWidth="1"/>
    <col min="4107" max="4107" width="9.85546875" style="225" customWidth="1"/>
    <col min="4108" max="4108" width="79.140625" style="225" customWidth="1"/>
    <col min="4109" max="4350" width="9.140625" style="225"/>
    <col min="4351" max="4351" width="4.7109375" style="225" customWidth="1"/>
    <col min="4352" max="4352" width="38.28515625" style="225" customWidth="1"/>
    <col min="4353" max="4353" width="10.7109375" style="225" bestFit="1" customWidth="1"/>
    <col min="4354" max="4354" width="69.140625" style="225" customWidth="1"/>
    <col min="4355" max="4362" width="0" style="225" hidden="1" customWidth="1"/>
    <col min="4363" max="4363" width="9.85546875" style="225" customWidth="1"/>
    <col min="4364" max="4364" width="79.140625" style="225" customWidth="1"/>
    <col min="4365" max="4606" width="9.140625" style="225"/>
    <col min="4607" max="4607" width="4.7109375" style="225" customWidth="1"/>
    <col min="4608" max="4608" width="38.28515625" style="225" customWidth="1"/>
    <col min="4609" max="4609" width="10.7109375" style="225" bestFit="1" customWidth="1"/>
    <col min="4610" max="4610" width="69.140625" style="225" customWidth="1"/>
    <col min="4611" max="4618" width="0" style="225" hidden="1" customWidth="1"/>
    <col min="4619" max="4619" width="9.85546875" style="225" customWidth="1"/>
    <col min="4620" max="4620" width="79.140625" style="225" customWidth="1"/>
    <col min="4621" max="4862" width="9.140625" style="225"/>
    <col min="4863" max="4863" width="4.7109375" style="225" customWidth="1"/>
    <col min="4864" max="4864" width="38.28515625" style="225" customWidth="1"/>
    <col min="4865" max="4865" width="10.7109375" style="225" bestFit="1" customWidth="1"/>
    <col min="4866" max="4866" width="69.140625" style="225" customWidth="1"/>
    <col min="4867" max="4874" width="0" style="225" hidden="1" customWidth="1"/>
    <col min="4875" max="4875" width="9.85546875" style="225" customWidth="1"/>
    <col min="4876" max="4876" width="79.140625" style="225" customWidth="1"/>
    <col min="4877" max="5118" width="9.140625" style="225"/>
    <col min="5119" max="5119" width="4.7109375" style="225" customWidth="1"/>
    <col min="5120" max="5120" width="38.28515625" style="225" customWidth="1"/>
    <col min="5121" max="5121" width="10.7109375" style="225" bestFit="1" customWidth="1"/>
    <col min="5122" max="5122" width="69.140625" style="225" customWidth="1"/>
    <col min="5123" max="5130" width="0" style="225" hidden="1" customWidth="1"/>
    <col min="5131" max="5131" width="9.85546875" style="225" customWidth="1"/>
    <col min="5132" max="5132" width="79.140625" style="225" customWidth="1"/>
    <col min="5133" max="5374" width="9.140625" style="225"/>
    <col min="5375" max="5375" width="4.7109375" style="225" customWidth="1"/>
    <col min="5376" max="5376" width="38.28515625" style="225" customWidth="1"/>
    <col min="5377" max="5377" width="10.7109375" style="225" bestFit="1" customWidth="1"/>
    <col min="5378" max="5378" width="69.140625" style="225" customWidth="1"/>
    <col min="5379" max="5386" width="0" style="225" hidden="1" customWidth="1"/>
    <col min="5387" max="5387" width="9.85546875" style="225" customWidth="1"/>
    <col min="5388" max="5388" width="79.140625" style="225" customWidth="1"/>
    <col min="5389" max="5630" width="9.140625" style="225"/>
    <col min="5631" max="5631" width="4.7109375" style="225" customWidth="1"/>
    <col min="5632" max="5632" width="38.28515625" style="225" customWidth="1"/>
    <col min="5633" max="5633" width="10.7109375" style="225" bestFit="1" customWidth="1"/>
    <col min="5634" max="5634" width="69.140625" style="225" customWidth="1"/>
    <col min="5635" max="5642" width="0" style="225" hidden="1" customWidth="1"/>
    <col min="5643" max="5643" width="9.85546875" style="225" customWidth="1"/>
    <col min="5644" max="5644" width="79.140625" style="225" customWidth="1"/>
    <col min="5645" max="5886" width="9.140625" style="225"/>
    <col min="5887" max="5887" width="4.7109375" style="225" customWidth="1"/>
    <col min="5888" max="5888" width="38.28515625" style="225" customWidth="1"/>
    <col min="5889" max="5889" width="10.7109375" style="225" bestFit="1" customWidth="1"/>
    <col min="5890" max="5890" width="69.140625" style="225" customWidth="1"/>
    <col min="5891" max="5898" width="0" style="225" hidden="1" customWidth="1"/>
    <col min="5899" max="5899" width="9.85546875" style="225" customWidth="1"/>
    <col min="5900" max="5900" width="79.140625" style="225" customWidth="1"/>
    <col min="5901" max="6142" width="9.140625" style="225"/>
    <col min="6143" max="6143" width="4.7109375" style="225" customWidth="1"/>
    <col min="6144" max="6144" width="38.28515625" style="225" customWidth="1"/>
    <col min="6145" max="6145" width="10.7109375" style="225" bestFit="1" customWidth="1"/>
    <col min="6146" max="6146" width="69.140625" style="225" customWidth="1"/>
    <col min="6147" max="6154" width="0" style="225" hidden="1" customWidth="1"/>
    <col min="6155" max="6155" width="9.85546875" style="225" customWidth="1"/>
    <col min="6156" max="6156" width="79.140625" style="225" customWidth="1"/>
    <col min="6157" max="6398" width="9.140625" style="225"/>
    <col min="6399" max="6399" width="4.7109375" style="225" customWidth="1"/>
    <col min="6400" max="6400" width="38.28515625" style="225" customWidth="1"/>
    <col min="6401" max="6401" width="10.7109375" style="225" bestFit="1" customWidth="1"/>
    <col min="6402" max="6402" width="69.140625" style="225" customWidth="1"/>
    <col min="6403" max="6410" width="0" style="225" hidden="1" customWidth="1"/>
    <col min="6411" max="6411" width="9.85546875" style="225" customWidth="1"/>
    <col min="6412" max="6412" width="79.140625" style="225" customWidth="1"/>
    <col min="6413" max="6654" width="9.140625" style="225"/>
    <col min="6655" max="6655" width="4.7109375" style="225" customWidth="1"/>
    <col min="6656" max="6656" width="38.28515625" style="225" customWidth="1"/>
    <col min="6657" max="6657" width="10.7109375" style="225" bestFit="1" customWidth="1"/>
    <col min="6658" max="6658" width="69.140625" style="225" customWidth="1"/>
    <col min="6659" max="6666" width="0" style="225" hidden="1" customWidth="1"/>
    <col min="6667" max="6667" width="9.85546875" style="225" customWidth="1"/>
    <col min="6668" max="6668" width="79.140625" style="225" customWidth="1"/>
    <col min="6669" max="6910" width="9.140625" style="225"/>
    <col min="6911" max="6911" width="4.7109375" style="225" customWidth="1"/>
    <col min="6912" max="6912" width="38.28515625" style="225" customWidth="1"/>
    <col min="6913" max="6913" width="10.7109375" style="225" bestFit="1" customWidth="1"/>
    <col min="6914" max="6914" width="69.140625" style="225" customWidth="1"/>
    <col min="6915" max="6922" width="0" style="225" hidden="1" customWidth="1"/>
    <col min="6923" max="6923" width="9.85546875" style="225" customWidth="1"/>
    <col min="6924" max="6924" width="79.140625" style="225" customWidth="1"/>
    <col min="6925" max="7166" width="9.140625" style="225"/>
    <col min="7167" max="7167" width="4.7109375" style="225" customWidth="1"/>
    <col min="7168" max="7168" width="38.28515625" style="225" customWidth="1"/>
    <col min="7169" max="7169" width="10.7109375" style="225" bestFit="1" customWidth="1"/>
    <col min="7170" max="7170" width="69.140625" style="225" customWidth="1"/>
    <col min="7171" max="7178" width="0" style="225" hidden="1" customWidth="1"/>
    <col min="7179" max="7179" width="9.85546875" style="225" customWidth="1"/>
    <col min="7180" max="7180" width="79.140625" style="225" customWidth="1"/>
    <col min="7181" max="7422" width="9.140625" style="225"/>
    <col min="7423" max="7423" width="4.7109375" style="225" customWidth="1"/>
    <col min="7424" max="7424" width="38.28515625" style="225" customWidth="1"/>
    <col min="7425" max="7425" width="10.7109375" style="225" bestFit="1" customWidth="1"/>
    <col min="7426" max="7426" width="69.140625" style="225" customWidth="1"/>
    <col min="7427" max="7434" width="0" style="225" hidden="1" customWidth="1"/>
    <col min="7435" max="7435" width="9.85546875" style="225" customWidth="1"/>
    <col min="7436" max="7436" width="79.140625" style="225" customWidth="1"/>
    <col min="7437" max="7678" width="9.140625" style="225"/>
    <col min="7679" max="7679" width="4.7109375" style="225" customWidth="1"/>
    <col min="7680" max="7680" width="38.28515625" style="225" customWidth="1"/>
    <col min="7681" max="7681" width="10.7109375" style="225" bestFit="1" customWidth="1"/>
    <col min="7682" max="7682" width="69.140625" style="225" customWidth="1"/>
    <col min="7683" max="7690" width="0" style="225" hidden="1" customWidth="1"/>
    <col min="7691" max="7691" width="9.85546875" style="225" customWidth="1"/>
    <col min="7692" max="7692" width="79.140625" style="225" customWidth="1"/>
    <col min="7693" max="7934" width="9.140625" style="225"/>
    <col min="7935" max="7935" width="4.7109375" style="225" customWidth="1"/>
    <col min="7936" max="7936" width="38.28515625" style="225" customWidth="1"/>
    <col min="7937" max="7937" width="10.7109375" style="225" bestFit="1" customWidth="1"/>
    <col min="7938" max="7938" width="69.140625" style="225" customWidth="1"/>
    <col min="7939" max="7946" width="0" style="225" hidden="1" customWidth="1"/>
    <col min="7947" max="7947" width="9.85546875" style="225" customWidth="1"/>
    <col min="7948" max="7948" width="79.140625" style="225" customWidth="1"/>
    <col min="7949" max="8190" width="9.140625" style="225"/>
    <col min="8191" max="8191" width="4.7109375" style="225" customWidth="1"/>
    <col min="8192" max="8192" width="38.28515625" style="225" customWidth="1"/>
    <col min="8193" max="8193" width="10.7109375" style="225" bestFit="1" customWidth="1"/>
    <col min="8194" max="8194" width="69.140625" style="225" customWidth="1"/>
    <col min="8195" max="8202" width="0" style="225" hidden="1" customWidth="1"/>
    <col min="8203" max="8203" width="9.85546875" style="225" customWidth="1"/>
    <col min="8204" max="8204" width="79.140625" style="225" customWidth="1"/>
    <col min="8205" max="8446" width="9.140625" style="225"/>
    <col min="8447" max="8447" width="4.7109375" style="225" customWidth="1"/>
    <col min="8448" max="8448" width="38.28515625" style="225" customWidth="1"/>
    <col min="8449" max="8449" width="10.7109375" style="225" bestFit="1" customWidth="1"/>
    <col min="8450" max="8450" width="69.140625" style="225" customWidth="1"/>
    <col min="8451" max="8458" width="0" style="225" hidden="1" customWidth="1"/>
    <col min="8459" max="8459" width="9.85546875" style="225" customWidth="1"/>
    <col min="8460" max="8460" width="79.140625" style="225" customWidth="1"/>
    <col min="8461" max="8702" width="9.140625" style="225"/>
    <col min="8703" max="8703" width="4.7109375" style="225" customWidth="1"/>
    <col min="8704" max="8704" width="38.28515625" style="225" customWidth="1"/>
    <col min="8705" max="8705" width="10.7109375" style="225" bestFit="1" customWidth="1"/>
    <col min="8706" max="8706" width="69.140625" style="225" customWidth="1"/>
    <col min="8707" max="8714" width="0" style="225" hidden="1" customWidth="1"/>
    <col min="8715" max="8715" width="9.85546875" style="225" customWidth="1"/>
    <col min="8716" max="8716" width="79.140625" style="225" customWidth="1"/>
    <col min="8717" max="8958" width="9.140625" style="225"/>
    <col min="8959" max="8959" width="4.7109375" style="225" customWidth="1"/>
    <col min="8960" max="8960" width="38.28515625" style="225" customWidth="1"/>
    <col min="8961" max="8961" width="10.7109375" style="225" bestFit="1" customWidth="1"/>
    <col min="8962" max="8962" width="69.140625" style="225" customWidth="1"/>
    <col min="8963" max="8970" width="0" style="225" hidden="1" customWidth="1"/>
    <col min="8971" max="8971" width="9.85546875" style="225" customWidth="1"/>
    <col min="8972" max="8972" width="79.140625" style="225" customWidth="1"/>
    <col min="8973" max="9214" width="9.140625" style="225"/>
    <col min="9215" max="9215" width="4.7109375" style="225" customWidth="1"/>
    <col min="9216" max="9216" width="38.28515625" style="225" customWidth="1"/>
    <col min="9217" max="9217" width="10.7109375" style="225" bestFit="1" customWidth="1"/>
    <col min="9218" max="9218" width="69.140625" style="225" customWidth="1"/>
    <col min="9219" max="9226" width="0" style="225" hidden="1" customWidth="1"/>
    <col min="9227" max="9227" width="9.85546875" style="225" customWidth="1"/>
    <col min="9228" max="9228" width="79.140625" style="225" customWidth="1"/>
    <col min="9229" max="9470" width="9.140625" style="225"/>
    <col min="9471" max="9471" width="4.7109375" style="225" customWidth="1"/>
    <col min="9472" max="9472" width="38.28515625" style="225" customWidth="1"/>
    <col min="9473" max="9473" width="10.7109375" style="225" bestFit="1" customWidth="1"/>
    <col min="9474" max="9474" width="69.140625" style="225" customWidth="1"/>
    <col min="9475" max="9482" width="0" style="225" hidden="1" customWidth="1"/>
    <col min="9483" max="9483" width="9.85546875" style="225" customWidth="1"/>
    <col min="9484" max="9484" width="79.140625" style="225" customWidth="1"/>
    <col min="9485" max="9726" width="9.140625" style="225"/>
    <col min="9727" max="9727" width="4.7109375" style="225" customWidth="1"/>
    <col min="9728" max="9728" width="38.28515625" style="225" customWidth="1"/>
    <col min="9729" max="9729" width="10.7109375" style="225" bestFit="1" customWidth="1"/>
    <col min="9730" max="9730" width="69.140625" style="225" customWidth="1"/>
    <col min="9731" max="9738" width="0" style="225" hidden="1" customWidth="1"/>
    <col min="9739" max="9739" width="9.85546875" style="225" customWidth="1"/>
    <col min="9740" max="9740" width="79.140625" style="225" customWidth="1"/>
    <col min="9741" max="9982" width="9.140625" style="225"/>
    <col min="9983" max="9983" width="4.7109375" style="225" customWidth="1"/>
    <col min="9984" max="9984" width="38.28515625" style="225" customWidth="1"/>
    <col min="9985" max="9985" width="10.7109375" style="225" bestFit="1" customWidth="1"/>
    <col min="9986" max="9986" width="69.140625" style="225" customWidth="1"/>
    <col min="9987" max="9994" width="0" style="225" hidden="1" customWidth="1"/>
    <col min="9995" max="9995" width="9.85546875" style="225" customWidth="1"/>
    <col min="9996" max="9996" width="79.140625" style="225" customWidth="1"/>
    <col min="9997" max="10238" width="9.140625" style="225"/>
    <col min="10239" max="10239" width="4.7109375" style="225" customWidth="1"/>
    <col min="10240" max="10240" width="38.28515625" style="225" customWidth="1"/>
    <col min="10241" max="10241" width="10.7109375" style="225" bestFit="1" customWidth="1"/>
    <col min="10242" max="10242" width="69.140625" style="225" customWidth="1"/>
    <col min="10243" max="10250" width="0" style="225" hidden="1" customWidth="1"/>
    <col min="10251" max="10251" width="9.85546875" style="225" customWidth="1"/>
    <col min="10252" max="10252" width="79.140625" style="225" customWidth="1"/>
    <col min="10253" max="10494" width="9.140625" style="225"/>
    <col min="10495" max="10495" width="4.7109375" style="225" customWidth="1"/>
    <col min="10496" max="10496" width="38.28515625" style="225" customWidth="1"/>
    <col min="10497" max="10497" width="10.7109375" style="225" bestFit="1" customWidth="1"/>
    <col min="10498" max="10498" width="69.140625" style="225" customWidth="1"/>
    <col min="10499" max="10506" width="0" style="225" hidden="1" customWidth="1"/>
    <col min="10507" max="10507" width="9.85546875" style="225" customWidth="1"/>
    <col min="10508" max="10508" width="79.140625" style="225" customWidth="1"/>
    <col min="10509" max="10750" width="9.140625" style="225"/>
    <col min="10751" max="10751" width="4.7109375" style="225" customWidth="1"/>
    <col min="10752" max="10752" width="38.28515625" style="225" customWidth="1"/>
    <col min="10753" max="10753" width="10.7109375" style="225" bestFit="1" customWidth="1"/>
    <col min="10754" max="10754" width="69.140625" style="225" customWidth="1"/>
    <col min="10755" max="10762" width="0" style="225" hidden="1" customWidth="1"/>
    <col min="10763" max="10763" width="9.85546875" style="225" customWidth="1"/>
    <col min="10764" max="10764" width="79.140625" style="225" customWidth="1"/>
    <col min="10765" max="11006" width="9.140625" style="225"/>
    <col min="11007" max="11007" width="4.7109375" style="225" customWidth="1"/>
    <col min="11008" max="11008" width="38.28515625" style="225" customWidth="1"/>
    <col min="11009" max="11009" width="10.7109375" style="225" bestFit="1" customWidth="1"/>
    <col min="11010" max="11010" width="69.140625" style="225" customWidth="1"/>
    <col min="11011" max="11018" width="0" style="225" hidden="1" customWidth="1"/>
    <col min="11019" max="11019" width="9.85546875" style="225" customWidth="1"/>
    <col min="11020" max="11020" width="79.140625" style="225" customWidth="1"/>
    <col min="11021" max="11262" width="9.140625" style="225"/>
    <col min="11263" max="11263" width="4.7109375" style="225" customWidth="1"/>
    <col min="11264" max="11264" width="38.28515625" style="225" customWidth="1"/>
    <col min="11265" max="11265" width="10.7109375" style="225" bestFit="1" customWidth="1"/>
    <col min="11266" max="11266" width="69.140625" style="225" customWidth="1"/>
    <col min="11267" max="11274" width="0" style="225" hidden="1" customWidth="1"/>
    <col min="11275" max="11275" width="9.85546875" style="225" customWidth="1"/>
    <col min="11276" max="11276" width="79.140625" style="225" customWidth="1"/>
    <col min="11277" max="11518" width="9.140625" style="225"/>
    <col min="11519" max="11519" width="4.7109375" style="225" customWidth="1"/>
    <col min="11520" max="11520" width="38.28515625" style="225" customWidth="1"/>
    <col min="11521" max="11521" width="10.7109375" style="225" bestFit="1" customWidth="1"/>
    <col min="11522" max="11522" width="69.140625" style="225" customWidth="1"/>
    <col min="11523" max="11530" width="0" style="225" hidden="1" customWidth="1"/>
    <col min="11531" max="11531" width="9.85546875" style="225" customWidth="1"/>
    <col min="11532" max="11532" width="79.140625" style="225" customWidth="1"/>
    <col min="11533" max="11774" width="9.140625" style="225"/>
    <col min="11775" max="11775" width="4.7109375" style="225" customWidth="1"/>
    <col min="11776" max="11776" width="38.28515625" style="225" customWidth="1"/>
    <col min="11777" max="11777" width="10.7109375" style="225" bestFit="1" customWidth="1"/>
    <col min="11778" max="11778" width="69.140625" style="225" customWidth="1"/>
    <col min="11779" max="11786" width="0" style="225" hidden="1" customWidth="1"/>
    <col min="11787" max="11787" width="9.85546875" style="225" customWidth="1"/>
    <col min="11788" max="11788" width="79.140625" style="225" customWidth="1"/>
    <col min="11789" max="12030" width="9.140625" style="225"/>
    <col min="12031" max="12031" width="4.7109375" style="225" customWidth="1"/>
    <col min="12032" max="12032" width="38.28515625" style="225" customWidth="1"/>
    <col min="12033" max="12033" width="10.7109375" style="225" bestFit="1" customWidth="1"/>
    <col min="12034" max="12034" width="69.140625" style="225" customWidth="1"/>
    <col min="12035" max="12042" width="0" style="225" hidden="1" customWidth="1"/>
    <col min="12043" max="12043" width="9.85546875" style="225" customWidth="1"/>
    <col min="12044" max="12044" width="79.140625" style="225" customWidth="1"/>
    <col min="12045" max="12286" width="9.140625" style="225"/>
    <col min="12287" max="12287" width="4.7109375" style="225" customWidth="1"/>
    <col min="12288" max="12288" width="38.28515625" style="225" customWidth="1"/>
    <col min="12289" max="12289" width="10.7109375" style="225" bestFit="1" customWidth="1"/>
    <col min="12290" max="12290" width="69.140625" style="225" customWidth="1"/>
    <col min="12291" max="12298" width="0" style="225" hidden="1" customWidth="1"/>
    <col min="12299" max="12299" width="9.85546875" style="225" customWidth="1"/>
    <col min="12300" max="12300" width="79.140625" style="225" customWidth="1"/>
    <col min="12301" max="12542" width="9.140625" style="225"/>
    <col min="12543" max="12543" width="4.7109375" style="225" customWidth="1"/>
    <col min="12544" max="12544" width="38.28515625" style="225" customWidth="1"/>
    <col min="12545" max="12545" width="10.7109375" style="225" bestFit="1" customWidth="1"/>
    <col min="12546" max="12546" width="69.140625" style="225" customWidth="1"/>
    <col min="12547" max="12554" width="0" style="225" hidden="1" customWidth="1"/>
    <col min="12555" max="12555" width="9.85546875" style="225" customWidth="1"/>
    <col min="12556" max="12556" width="79.140625" style="225" customWidth="1"/>
    <col min="12557" max="12798" width="9.140625" style="225"/>
    <col min="12799" max="12799" width="4.7109375" style="225" customWidth="1"/>
    <col min="12800" max="12800" width="38.28515625" style="225" customWidth="1"/>
    <col min="12801" max="12801" width="10.7109375" style="225" bestFit="1" customWidth="1"/>
    <col min="12802" max="12802" width="69.140625" style="225" customWidth="1"/>
    <col min="12803" max="12810" width="0" style="225" hidden="1" customWidth="1"/>
    <col min="12811" max="12811" width="9.85546875" style="225" customWidth="1"/>
    <col min="12812" max="12812" width="79.140625" style="225" customWidth="1"/>
    <col min="12813" max="13054" width="9.140625" style="225"/>
    <col min="13055" max="13055" width="4.7109375" style="225" customWidth="1"/>
    <col min="13056" max="13056" width="38.28515625" style="225" customWidth="1"/>
    <col min="13057" max="13057" width="10.7109375" style="225" bestFit="1" customWidth="1"/>
    <col min="13058" max="13058" width="69.140625" style="225" customWidth="1"/>
    <col min="13059" max="13066" width="0" style="225" hidden="1" customWidth="1"/>
    <col min="13067" max="13067" width="9.85546875" style="225" customWidth="1"/>
    <col min="13068" max="13068" width="79.140625" style="225" customWidth="1"/>
    <col min="13069" max="13310" width="9.140625" style="225"/>
    <col min="13311" max="13311" width="4.7109375" style="225" customWidth="1"/>
    <col min="13312" max="13312" width="38.28515625" style="225" customWidth="1"/>
    <col min="13313" max="13313" width="10.7109375" style="225" bestFit="1" customWidth="1"/>
    <col min="13314" max="13314" width="69.140625" style="225" customWidth="1"/>
    <col min="13315" max="13322" width="0" style="225" hidden="1" customWidth="1"/>
    <col min="13323" max="13323" width="9.85546875" style="225" customWidth="1"/>
    <col min="13324" max="13324" width="79.140625" style="225" customWidth="1"/>
    <col min="13325" max="13566" width="9.140625" style="225"/>
    <col min="13567" max="13567" width="4.7109375" style="225" customWidth="1"/>
    <col min="13568" max="13568" width="38.28515625" style="225" customWidth="1"/>
    <col min="13569" max="13569" width="10.7109375" style="225" bestFit="1" customWidth="1"/>
    <col min="13570" max="13570" width="69.140625" style="225" customWidth="1"/>
    <col min="13571" max="13578" width="0" style="225" hidden="1" customWidth="1"/>
    <col min="13579" max="13579" width="9.85546875" style="225" customWidth="1"/>
    <col min="13580" max="13580" width="79.140625" style="225" customWidth="1"/>
    <col min="13581" max="13822" width="9.140625" style="225"/>
    <col min="13823" max="13823" width="4.7109375" style="225" customWidth="1"/>
    <col min="13824" max="13824" width="38.28515625" style="225" customWidth="1"/>
    <col min="13825" max="13825" width="10.7109375" style="225" bestFit="1" customWidth="1"/>
    <col min="13826" max="13826" width="69.140625" style="225" customWidth="1"/>
    <col min="13827" max="13834" width="0" style="225" hidden="1" customWidth="1"/>
    <col min="13835" max="13835" width="9.85546875" style="225" customWidth="1"/>
    <col min="13836" max="13836" width="79.140625" style="225" customWidth="1"/>
    <col min="13837" max="14078" width="9.140625" style="225"/>
    <col min="14079" max="14079" width="4.7109375" style="225" customWidth="1"/>
    <col min="14080" max="14080" width="38.28515625" style="225" customWidth="1"/>
    <col min="14081" max="14081" width="10.7109375" style="225" bestFit="1" customWidth="1"/>
    <col min="14082" max="14082" width="69.140625" style="225" customWidth="1"/>
    <col min="14083" max="14090" width="0" style="225" hidden="1" customWidth="1"/>
    <col min="14091" max="14091" width="9.85546875" style="225" customWidth="1"/>
    <col min="14092" max="14092" width="79.140625" style="225" customWidth="1"/>
    <col min="14093" max="14334" width="9.140625" style="225"/>
    <col min="14335" max="14335" width="4.7109375" style="225" customWidth="1"/>
    <col min="14336" max="14336" width="38.28515625" style="225" customWidth="1"/>
    <col min="14337" max="14337" width="10.7109375" style="225" bestFit="1" customWidth="1"/>
    <col min="14338" max="14338" width="69.140625" style="225" customWidth="1"/>
    <col min="14339" max="14346" width="0" style="225" hidden="1" customWidth="1"/>
    <col min="14347" max="14347" width="9.85546875" style="225" customWidth="1"/>
    <col min="14348" max="14348" width="79.140625" style="225" customWidth="1"/>
    <col min="14349" max="14590" width="9.140625" style="225"/>
    <col min="14591" max="14591" width="4.7109375" style="225" customWidth="1"/>
    <col min="14592" max="14592" width="38.28515625" style="225" customWidth="1"/>
    <col min="14593" max="14593" width="10.7109375" style="225" bestFit="1" customWidth="1"/>
    <col min="14594" max="14594" width="69.140625" style="225" customWidth="1"/>
    <col min="14595" max="14602" width="0" style="225" hidden="1" customWidth="1"/>
    <col min="14603" max="14603" width="9.85546875" style="225" customWidth="1"/>
    <col min="14604" max="14604" width="79.140625" style="225" customWidth="1"/>
    <col min="14605" max="14846" width="9.140625" style="225"/>
    <col min="14847" max="14847" width="4.7109375" style="225" customWidth="1"/>
    <col min="14848" max="14848" width="38.28515625" style="225" customWidth="1"/>
    <col min="14849" max="14849" width="10.7109375" style="225" bestFit="1" customWidth="1"/>
    <col min="14850" max="14850" width="69.140625" style="225" customWidth="1"/>
    <col min="14851" max="14858" width="0" style="225" hidden="1" customWidth="1"/>
    <col min="14859" max="14859" width="9.85546875" style="225" customWidth="1"/>
    <col min="14860" max="14860" width="79.140625" style="225" customWidth="1"/>
    <col min="14861" max="15102" width="9.140625" style="225"/>
    <col min="15103" max="15103" width="4.7109375" style="225" customWidth="1"/>
    <col min="15104" max="15104" width="38.28515625" style="225" customWidth="1"/>
    <col min="15105" max="15105" width="10.7109375" style="225" bestFit="1" customWidth="1"/>
    <col min="15106" max="15106" width="69.140625" style="225" customWidth="1"/>
    <col min="15107" max="15114" width="0" style="225" hidden="1" customWidth="1"/>
    <col min="15115" max="15115" width="9.85546875" style="225" customWidth="1"/>
    <col min="15116" max="15116" width="79.140625" style="225" customWidth="1"/>
    <col min="15117" max="15358" width="9.140625" style="225"/>
    <col min="15359" max="15359" width="4.7109375" style="225" customWidth="1"/>
    <col min="15360" max="15360" width="38.28515625" style="225" customWidth="1"/>
    <col min="15361" max="15361" width="10.7109375" style="225" bestFit="1" customWidth="1"/>
    <col min="15362" max="15362" width="69.140625" style="225" customWidth="1"/>
    <col min="15363" max="15370" width="0" style="225" hidden="1" customWidth="1"/>
    <col min="15371" max="15371" width="9.85546875" style="225" customWidth="1"/>
    <col min="15372" max="15372" width="79.140625" style="225" customWidth="1"/>
    <col min="15373" max="15614" width="9.140625" style="225"/>
    <col min="15615" max="15615" width="4.7109375" style="225" customWidth="1"/>
    <col min="15616" max="15616" width="38.28515625" style="225" customWidth="1"/>
    <col min="15617" max="15617" width="10.7109375" style="225" bestFit="1" customWidth="1"/>
    <col min="15618" max="15618" width="69.140625" style="225" customWidth="1"/>
    <col min="15619" max="15626" width="0" style="225" hidden="1" customWidth="1"/>
    <col min="15627" max="15627" width="9.85546875" style="225" customWidth="1"/>
    <col min="15628" max="15628" width="79.140625" style="225" customWidth="1"/>
    <col min="15629" max="15870" width="9.140625" style="225"/>
    <col min="15871" max="15871" width="4.7109375" style="225" customWidth="1"/>
    <col min="15872" max="15872" width="38.28515625" style="225" customWidth="1"/>
    <col min="15873" max="15873" width="10.7109375" style="225" bestFit="1" customWidth="1"/>
    <col min="15874" max="15874" width="69.140625" style="225" customWidth="1"/>
    <col min="15875" max="15882" width="0" style="225" hidden="1" customWidth="1"/>
    <col min="15883" max="15883" width="9.85546875" style="225" customWidth="1"/>
    <col min="15884" max="15884" width="79.140625" style="225" customWidth="1"/>
    <col min="15885" max="16126" width="9.140625" style="225"/>
    <col min="16127" max="16127" width="4.7109375" style="225" customWidth="1"/>
    <col min="16128" max="16128" width="38.28515625" style="225" customWidth="1"/>
    <col min="16129" max="16129" width="10.7109375" style="225" bestFit="1" customWidth="1"/>
    <col min="16130" max="16130" width="69.140625" style="225" customWidth="1"/>
    <col min="16131" max="16138" width="0" style="225" hidden="1" customWidth="1"/>
    <col min="16139" max="16139" width="9.85546875" style="225" customWidth="1"/>
    <col min="16140" max="16140" width="79.140625" style="225" customWidth="1"/>
    <col min="16141" max="16384" width="9.140625" style="225"/>
  </cols>
  <sheetData>
    <row r="1" spans="1:6" x14ac:dyDescent="0.2">
      <c r="A1" s="669" t="s">
        <v>130</v>
      </c>
      <c r="B1" s="669"/>
      <c r="C1" s="669"/>
      <c r="D1" s="669"/>
    </row>
    <row r="2" spans="1:6" x14ac:dyDescent="0.2">
      <c r="A2" s="670" t="s">
        <v>131</v>
      </c>
      <c r="B2" s="670"/>
      <c r="C2" s="670"/>
      <c r="D2" s="670"/>
    </row>
    <row r="4" spans="1:6" x14ac:dyDescent="0.2">
      <c r="A4" s="657" t="s">
        <v>16</v>
      </c>
      <c r="B4" s="658"/>
      <c r="C4" s="647" t="s">
        <v>132</v>
      </c>
      <c r="D4" s="648"/>
    </row>
    <row r="5" spans="1:6" x14ac:dyDescent="0.2">
      <c r="A5" s="226" t="s">
        <v>1</v>
      </c>
      <c r="B5" s="227" t="s">
        <v>20</v>
      </c>
      <c r="C5" s="659" t="s">
        <v>133</v>
      </c>
      <c r="D5" s="660"/>
    </row>
    <row r="6" spans="1:6" x14ac:dyDescent="0.2">
      <c r="A6" s="226" t="s">
        <v>2</v>
      </c>
      <c r="B6" s="227" t="s">
        <v>134</v>
      </c>
      <c r="C6" s="661" t="s">
        <v>135</v>
      </c>
      <c r="D6" s="662"/>
    </row>
    <row r="7" spans="1:6" x14ac:dyDescent="0.2">
      <c r="A7" s="226" t="s">
        <v>4</v>
      </c>
      <c r="B7" s="227" t="s">
        <v>136</v>
      </c>
      <c r="C7" s="661" t="s">
        <v>137</v>
      </c>
      <c r="D7" s="662"/>
    </row>
    <row r="8" spans="1:6" x14ac:dyDescent="0.2">
      <c r="A8" s="226" t="s">
        <v>6</v>
      </c>
      <c r="B8" s="227" t="s">
        <v>138</v>
      </c>
      <c r="C8" s="661" t="s">
        <v>139</v>
      </c>
      <c r="D8" s="662"/>
    </row>
    <row r="9" spans="1:6" x14ac:dyDescent="0.2">
      <c r="A9" s="226" t="s">
        <v>23</v>
      </c>
      <c r="B9" s="227" t="s">
        <v>140</v>
      </c>
      <c r="C9" s="661" t="s">
        <v>141</v>
      </c>
      <c r="D9" s="662"/>
    </row>
    <row r="10" spans="1:6" x14ac:dyDescent="0.2">
      <c r="A10" s="226" t="s">
        <v>25</v>
      </c>
      <c r="B10" s="227" t="s">
        <v>142</v>
      </c>
      <c r="C10" s="661" t="s">
        <v>143</v>
      </c>
      <c r="D10" s="662"/>
    </row>
    <row r="11" spans="1:6" x14ac:dyDescent="0.2">
      <c r="A11" s="226" t="s">
        <v>44</v>
      </c>
      <c r="B11" s="227" t="s">
        <v>26</v>
      </c>
      <c r="C11" s="661"/>
      <c r="D11" s="662"/>
    </row>
    <row r="12" spans="1:6" x14ac:dyDescent="0.2">
      <c r="A12" s="665"/>
      <c r="B12" s="665"/>
      <c r="C12" s="665"/>
      <c r="D12" s="665"/>
    </row>
    <row r="13" spans="1:6" x14ac:dyDescent="0.2">
      <c r="A13" s="646" t="s">
        <v>144</v>
      </c>
      <c r="B13" s="646"/>
      <c r="C13" s="646"/>
      <c r="D13" s="646"/>
      <c r="F13" s="228"/>
    </row>
    <row r="14" spans="1:6" x14ac:dyDescent="0.2">
      <c r="A14" s="666"/>
      <c r="B14" s="666"/>
      <c r="C14" s="666"/>
      <c r="D14" s="666"/>
    </row>
    <row r="15" spans="1:6" x14ac:dyDescent="0.2">
      <c r="A15" s="667" t="s">
        <v>29</v>
      </c>
      <c r="B15" s="667"/>
      <c r="C15" s="229" t="s">
        <v>145</v>
      </c>
      <c r="D15" s="229" t="s">
        <v>146</v>
      </c>
    </row>
    <row r="16" spans="1:6" x14ac:dyDescent="0.2">
      <c r="A16" s="230" t="s">
        <v>1</v>
      </c>
      <c r="B16" s="227" t="s">
        <v>147</v>
      </c>
      <c r="C16" s="231">
        <v>8.3299999999999999E-2</v>
      </c>
      <c r="D16" s="232" t="s">
        <v>148</v>
      </c>
      <c r="F16" s="233"/>
    </row>
    <row r="17" spans="1:6" ht="25.5" x14ac:dyDescent="0.2">
      <c r="A17" s="234" t="s">
        <v>2</v>
      </c>
      <c r="B17" s="235" t="s">
        <v>31</v>
      </c>
      <c r="C17" s="236">
        <v>0.121</v>
      </c>
      <c r="D17" s="357" t="s">
        <v>358</v>
      </c>
      <c r="F17" s="233"/>
    </row>
    <row r="18" spans="1:6" x14ac:dyDescent="0.2">
      <c r="A18" s="652" t="s">
        <v>149</v>
      </c>
      <c r="B18" s="652"/>
      <c r="C18" s="248">
        <f>SUM(C16:C17)</f>
        <v>0.20429999999999998</v>
      </c>
      <c r="D18" s="357"/>
      <c r="F18" s="233"/>
    </row>
    <row r="19" spans="1:6" ht="25.5" x14ac:dyDescent="0.2">
      <c r="A19" s="237" t="s">
        <v>4</v>
      </c>
      <c r="B19" s="238" t="s">
        <v>32</v>
      </c>
      <c r="C19" s="276">
        <f>C18*C31</f>
        <v>7.3098540000000004E-2</v>
      </c>
      <c r="D19" s="239" t="s">
        <v>150</v>
      </c>
      <c r="E19" s="240"/>
      <c r="F19" s="233"/>
    </row>
    <row r="20" spans="1:6" x14ac:dyDescent="0.2">
      <c r="A20" s="668" t="s">
        <v>151</v>
      </c>
      <c r="B20" s="668"/>
      <c r="C20" s="241">
        <f>SUM(C18+C19)</f>
        <v>0.27739853999999997</v>
      </c>
      <c r="D20" s="242"/>
    </row>
    <row r="21" spans="1:6" x14ac:dyDescent="0.2">
      <c r="A21" s="657" t="s">
        <v>37</v>
      </c>
      <c r="B21" s="658"/>
      <c r="C21" s="229" t="s">
        <v>145</v>
      </c>
      <c r="D21" s="229" t="s">
        <v>132</v>
      </c>
    </row>
    <row r="22" spans="1:6" x14ac:dyDescent="0.2">
      <c r="A22" s="226" t="s">
        <v>1</v>
      </c>
      <c r="B22" s="227" t="s">
        <v>38</v>
      </c>
      <c r="C22" s="231">
        <v>0.2</v>
      </c>
      <c r="D22" s="243" t="s">
        <v>152</v>
      </c>
    </row>
    <row r="23" spans="1:6" x14ac:dyDescent="0.2">
      <c r="A23" s="226" t="s">
        <v>2</v>
      </c>
      <c r="B23" s="227" t="s">
        <v>39</v>
      </c>
      <c r="C23" s="231">
        <v>2.5000000000000001E-2</v>
      </c>
      <c r="D23" s="244" t="s">
        <v>153</v>
      </c>
    </row>
    <row r="24" spans="1:6" x14ac:dyDescent="0.2">
      <c r="A24" s="226" t="s">
        <v>4</v>
      </c>
      <c r="B24" s="227" t="s">
        <v>154</v>
      </c>
      <c r="C24" s="231">
        <v>1.9800000000000002E-2</v>
      </c>
      <c r="D24" s="244" t="s">
        <v>155</v>
      </c>
    </row>
    <row r="25" spans="1:6" x14ac:dyDescent="0.2">
      <c r="A25" s="226" t="s">
        <v>6</v>
      </c>
      <c r="B25" s="227" t="s">
        <v>41</v>
      </c>
      <c r="C25" s="231">
        <v>1.4999999999999999E-2</v>
      </c>
      <c r="D25" s="243" t="s">
        <v>156</v>
      </c>
    </row>
    <row r="26" spans="1:6" x14ac:dyDescent="0.2">
      <c r="A26" s="226" t="s">
        <v>23</v>
      </c>
      <c r="B26" s="227" t="s">
        <v>42</v>
      </c>
      <c r="C26" s="231">
        <v>0.01</v>
      </c>
      <c r="D26" s="243" t="s">
        <v>157</v>
      </c>
    </row>
    <row r="27" spans="1:6" x14ac:dyDescent="0.2">
      <c r="A27" s="226" t="s">
        <v>25</v>
      </c>
      <c r="B27" s="227" t="s">
        <v>43</v>
      </c>
      <c r="C27" s="231">
        <v>6.0000000000000001E-3</v>
      </c>
      <c r="D27" s="243" t="s">
        <v>158</v>
      </c>
    </row>
    <row r="28" spans="1:6" x14ac:dyDescent="0.2">
      <c r="A28" s="226" t="s">
        <v>44</v>
      </c>
      <c r="B28" s="227" t="s">
        <v>45</v>
      </c>
      <c r="C28" s="231">
        <v>2E-3</v>
      </c>
      <c r="D28" s="243" t="s">
        <v>159</v>
      </c>
    </row>
    <row r="29" spans="1:6" x14ac:dyDescent="0.2">
      <c r="A29" s="226" t="s">
        <v>46</v>
      </c>
      <c r="B29" s="227" t="s">
        <v>47</v>
      </c>
      <c r="C29" s="231">
        <v>0.08</v>
      </c>
      <c r="D29" s="245" t="s">
        <v>160</v>
      </c>
    </row>
    <row r="30" spans="1:6" x14ac:dyDescent="0.2">
      <c r="A30" s="246"/>
      <c r="B30" s="246"/>
      <c r="C30" s="247"/>
    </row>
    <row r="31" spans="1:6" x14ac:dyDescent="0.2">
      <c r="A31" s="652" t="s">
        <v>149</v>
      </c>
      <c r="B31" s="652"/>
      <c r="C31" s="248">
        <f>SUM(C22:C29)</f>
        <v>0.35780000000000006</v>
      </c>
      <c r="D31" s="249"/>
    </row>
    <row r="32" spans="1:6" x14ac:dyDescent="0.2">
      <c r="A32" s="657" t="s">
        <v>49</v>
      </c>
      <c r="B32" s="658"/>
      <c r="C32" s="647" t="s">
        <v>132</v>
      </c>
      <c r="D32" s="648"/>
    </row>
    <row r="33" spans="1:8" x14ac:dyDescent="0.2">
      <c r="A33" s="226" t="s">
        <v>1</v>
      </c>
      <c r="B33" s="250" t="s">
        <v>51</v>
      </c>
      <c r="C33" s="659" t="s">
        <v>161</v>
      </c>
      <c r="D33" s="660"/>
    </row>
    <row r="34" spans="1:8" x14ac:dyDescent="0.2">
      <c r="A34" s="226" t="s">
        <v>2</v>
      </c>
      <c r="B34" s="250" t="s">
        <v>162</v>
      </c>
      <c r="C34" s="661" t="s">
        <v>163</v>
      </c>
      <c r="D34" s="662"/>
    </row>
    <row r="35" spans="1:8" x14ac:dyDescent="0.2">
      <c r="A35" s="226" t="s">
        <v>4</v>
      </c>
      <c r="B35" s="250" t="s">
        <v>53</v>
      </c>
      <c r="C35" s="663" t="s">
        <v>353</v>
      </c>
      <c r="D35" s="664"/>
    </row>
    <row r="36" spans="1:8" ht="12.75" customHeight="1" x14ac:dyDescent="0.2">
      <c r="A36" s="226" t="s">
        <v>6</v>
      </c>
      <c r="B36" s="227" t="s">
        <v>165</v>
      </c>
      <c r="C36" s="663" t="s">
        <v>354</v>
      </c>
      <c r="D36" s="664"/>
    </row>
    <row r="37" spans="1:8" ht="12.75" customHeight="1" x14ac:dyDescent="0.2">
      <c r="A37" s="226" t="s">
        <v>23</v>
      </c>
      <c r="B37" s="227" t="s">
        <v>166</v>
      </c>
      <c r="C37" s="663" t="s">
        <v>355</v>
      </c>
      <c r="D37" s="664"/>
    </row>
    <row r="38" spans="1:8" ht="25.5" x14ac:dyDescent="0.2">
      <c r="A38" s="226" t="s">
        <v>25</v>
      </c>
      <c r="B38" s="250" t="s">
        <v>167</v>
      </c>
      <c r="C38" s="661" t="s">
        <v>164</v>
      </c>
      <c r="D38" s="662"/>
    </row>
    <row r="39" spans="1:8" x14ac:dyDescent="0.2">
      <c r="G39" s="233"/>
    </row>
    <row r="40" spans="1:8" x14ac:dyDescent="0.2">
      <c r="A40" s="652" t="s">
        <v>168</v>
      </c>
      <c r="B40" s="652"/>
      <c r="C40" s="248">
        <f>C31+C18</f>
        <v>0.56210000000000004</v>
      </c>
      <c r="D40" s="249"/>
      <c r="G40" s="233"/>
    </row>
    <row r="41" spans="1:8" x14ac:dyDescent="0.2">
      <c r="A41" s="358"/>
      <c r="B41" s="358"/>
      <c r="C41" s="359"/>
      <c r="D41" s="360"/>
      <c r="G41" s="233"/>
    </row>
    <row r="42" spans="1:8" x14ac:dyDescent="0.2">
      <c r="A42" s="646" t="s">
        <v>169</v>
      </c>
      <c r="B42" s="646"/>
      <c r="C42" s="646"/>
      <c r="D42" s="646"/>
      <c r="G42" s="233"/>
    </row>
    <row r="43" spans="1:8" x14ac:dyDescent="0.2">
      <c r="A43" s="314"/>
      <c r="B43" s="314"/>
      <c r="C43" s="314"/>
      <c r="D43" s="314"/>
      <c r="G43" s="233"/>
    </row>
    <row r="44" spans="1:8" x14ac:dyDescent="0.2">
      <c r="A44" s="229">
        <v>3</v>
      </c>
      <c r="B44" s="251" t="s">
        <v>69</v>
      </c>
      <c r="C44" s="229" t="s">
        <v>145</v>
      </c>
      <c r="D44" s="229" t="s">
        <v>146</v>
      </c>
      <c r="F44" s="233"/>
    </row>
    <row r="45" spans="1:8" ht="51" x14ac:dyDescent="0.2">
      <c r="A45" s="226" t="s">
        <v>1</v>
      </c>
      <c r="B45" s="227" t="s">
        <v>170</v>
      </c>
      <c r="C45" s="231">
        <v>4.5999999999999999E-3</v>
      </c>
      <c r="D45" s="279" t="s">
        <v>360</v>
      </c>
    </row>
    <row r="46" spans="1:8" x14ac:dyDescent="0.2">
      <c r="A46" s="226" t="s">
        <v>2</v>
      </c>
      <c r="B46" s="250" t="s">
        <v>171</v>
      </c>
      <c r="C46" s="231">
        <f>C29*C45</f>
        <v>3.68E-4</v>
      </c>
      <c r="D46" s="252" t="s">
        <v>197</v>
      </c>
      <c r="F46" s="253">
        <f>(8%*0.42%)*100</f>
        <v>3.3599999999999998E-2</v>
      </c>
      <c r="G46" s="253"/>
    </row>
    <row r="47" spans="1:8" ht="76.5" x14ac:dyDescent="0.2">
      <c r="A47" s="230" t="s">
        <v>4</v>
      </c>
      <c r="B47" s="250" t="s">
        <v>172</v>
      </c>
      <c r="C47" s="257">
        <v>2.5000000000000001E-2</v>
      </c>
      <c r="D47" s="280" t="s">
        <v>363</v>
      </c>
      <c r="E47" s="254"/>
    </row>
    <row r="48" spans="1:8" ht="25.5" x14ac:dyDescent="0.2">
      <c r="A48" s="230" t="s">
        <v>6</v>
      </c>
      <c r="B48" s="227" t="s">
        <v>173</v>
      </c>
      <c r="C48" s="231">
        <v>1.9400000000000001E-2</v>
      </c>
      <c r="D48" s="255" t="s">
        <v>196</v>
      </c>
      <c r="F48" s="253"/>
      <c r="H48" s="253"/>
    </row>
    <row r="49" spans="1:12" ht="25.5" x14ac:dyDescent="0.2">
      <c r="A49" s="226" t="s">
        <v>23</v>
      </c>
      <c r="B49" s="250" t="s">
        <v>174</v>
      </c>
      <c r="C49" s="231"/>
      <c r="D49" s="256" t="s">
        <v>362</v>
      </c>
      <c r="F49" s="253">
        <f>(35.46%*0.04%)*100</f>
        <v>1.4184E-2</v>
      </c>
      <c r="G49" s="233"/>
    </row>
    <row r="50" spans="1:12" ht="25.5" x14ac:dyDescent="0.2">
      <c r="A50" s="230" t="s">
        <v>25</v>
      </c>
      <c r="B50" s="250" t="s">
        <v>175</v>
      </c>
      <c r="C50" s="257">
        <v>2.5000000000000001E-2</v>
      </c>
      <c r="D50" s="282" t="s">
        <v>361</v>
      </c>
      <c r="F50" s="225">
        <f>0.04%*50%*100</f>
        <v>0.02</v>
      </c>
    </row>
    <row r="51" spans="1:12" x14ac:dyDescent="0.2">
      <c r="D51" s="240"/>
    </row>
    <row r="52" spans="1:12" x14ac:dyDescent="0.2">
      <c r="A52" s="652" t="s">
        <v>176</v>
      </c>
      <c r="B52" s="652"/>
      <c r="C52" s="248">
        <f>SUM(C45:C50)</f>
        <v>7.4368000000000004E-2</v>
      </c>
      <c r="D52" s="280"/>
    </row>
    <row r="53" spans="1:12" x14ac:dyDescent="0.2">
      <c r="A53" s="358"/>
      <c r="B53" s="358"/>
      <c r="C53" s="359"/>
      <c r="D53" s="280"/>
    </row>
    <row r="54" spans="1:12" x14ac:dyDescent="0.2">
      <c r="A54" s="646" t="s">
        <v>177</v>
      </c>
      <c r="B54" s="646"/>
      <c r="C54" s="646"/>
      <c r="D54" s="646"/>
    </row>
    <row r="55" spans="1:12" x14ac:dyDescent="0.2">
      <c r="A55" s="358"/>
      <c r="B55" s="358"/>
      <c r="C55" s="359"/>
      <c r="D55" s="361"/>
    </row>
    <row r="56" spans="1:12" x14ac:dyDescent="0.2">
      <c r="A56" s="647" t="s">
        <v>178</v>
      </c>
      <c r="B56" s="648"/>
      <c r="C56" s="229" t="s">
        <v>179</v>
      </c>
      <c r="D56" s="229" t="s">
        <v>146</v>
      </c>
    </row>
    <row r="57" spans="1:12" ht="24.75" customHeight="1" x14ac:dyDescent="0.2">
      <c r="A57" s="226" t="s">
        <v>1</v>
      </c>
      <c r="B57" s="227" t="s">
        <v>340</v>
      </c>
      <c r="C57" s="231">
        <v>9.2999999999999992E-3</v>
      </c>
      <c r="D57" s="255" t="s">
        <v>359</v>
      </c>
      <c r="E57" s="255" t="s">
        <v>356</v>
      </c>
      <c r="F57" s="255" t="s">
        <v>356</v>
      </c>
      <c r="G57" s="255" t="s">
        <v>356</v>
      </c>
      <c r="H57" s="255" t="s">
        <v>356</v>
      </c>
      <c r="I57" s="255" t="s">
        <v>356</v>
      </c>
      <c r="J57" s="255" t="s">
        <v>356</v>
      </c>
      <c r="K57" s="255" t="s">
        <v>356</v>
      </c>
      <c r="L57" s="281"/>
    </row>
    <row r="58" spans="1:12" ht="78.75" customHeight="1" x14ac:dyDescent="0.2">
      <c r="A58" s="226" t="s">
        <v>2</v>
      </c>
      <c r="B58" s="227" t="s">
        <v>341</v>
      </c>
      <c r="C58" s="231">
        <v>2.8E-3</v>
      </c>
      <c r="D58" s="255" t="s">
        <v>357</v>
      </c>
      <c r="E58" s="258"/>
      <c r="F58" s="253"/>
    </row>
    <row r="59" spans="1:12" ht="25.5" x14ac:dyDescent="0.2">
      <c r="A59" s="226" t="s">
        <v>4</v>
      </c>
      <c r="B59" s="227" t="s">
        <v>342</v>
      </c>
      <c r="C59" s="231">
        <v>2.0000000000000001E-4</v>
      </c>
      <c r="D59" s="255" t="s">
        <v>180</v>
      </c>
      <c r="F59" s="253">
        <f>(5/30/12)*0.5%*100</f>
        <v>6.9444444444444441E-3</v>
      </c>
      <c r="H59" s="253"/>
    </row>
    <row r="60" spans="1:12" ht="63.75" x14ac:dyDescent="0.2">
      <c r="A60" s="226" t="s">
        <v>6</v>
      </c>
      <c r="B60" s="250" t="s">
        <v>343</v>
      </c>
      <c r="C60" s="231">
        <v>2.9999999999999997E-4</v>
      </c>
      <c r="D60" s="255" t="s">
        <v>195</v>
      </c>
      <c r="F60" s="259">
        <f>(1/30/12)*100</f>
        <v>0.27777777777777779</v>
      </c>
      <c r="G60" s="260"/>
    </row>
    <row r="61" spans="1:12" x14ac:dyDescent="0.2">
      <c r="A61" s="226" t="s">
        <v>23</v>
      </c>
      <c r="B61" s="227" t="s">
        <v>344</v>
      </c>
      <c r="C61" s="261">
        <v>2.0000000000000001E-4</v>
      </c>
      <c r="D61" s="262" t="s">
        <v>339</v>
      </c>
      <c r="F61" s="253">
        <f>(15/30/12)*0.0078*100</f>
        <v>3.2500000000000001E-2</v>
      </c>
      <c r="G61" s="228"/>
    </row>
    <row r="62" spans="1:12" x14ac:dyDescent="0.2">
      <c r="A62" s="226" t="s">
        <v>25</v>
      </c>
      <c r="B62" s="227" t="s">
        <v>26</v>
      </c>
      <c r="C62" s="231">
        <v>0</v>
      </c>
      <c r="D62" s="263"/>
    </row>
    <row r="63" spans="1:12" x14ac:dyDescent="0.2">
      <c r="A63" s="649" t="s">
        <v>149</v>
      </c>
      <c r="B63" s="650"/>
      <c r="C63" s="264">
        <f>SUM(C58:C62)</f>
        <v>3.5000000000000001E-3</v>
      </c>
      <c r="D63" s="265"/>
    </row>
    <row r="64" spans="1:12" x14ac:dyDescent="0.2">
      <c r="A64" s="649" t="s">
        <v>181</v>
      </c>
      <c r="B64" s="650"/>
      <c r="C64" s="264">
        <f>SUM(C63:C63)</f>
        <v>3.5000000000000001E-3</v>
      </c>
      <c r="D64" s="265"/>
    </row>
    <row r="65" spans="1:254" x14ac:dyDescent="0.2">
      <c r="A65" s="647" t="s">
        <v>182</v>
      </c>
      <c r="B65" s="648"/>
      <c r="C65" s="229" t="s">
        <v>179</v>
      </c>
      <c r="D65" s="229" t="s">
        <v>146</v>
      </c>
    </row>
    <row r="66" spans="1:254" x14ac:dyDescent="0.2">
      <c r="A66" s="226" t="s">
        <v>1</v>
      </c>
      <c r="B66" s="227" t="s">
        <v>183</v>
      </c>
      <c r="C66" s="266">
        <v>0</v>
      </c>
      <c r="D66" s="362" t="s">
        <v>184</v>
      </c>
      <c r="E66" s="267"/>
      <c r="F66" s="268"/>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67"/>
      <c r="CW66" s="267"/>
      <c r="CX66" s="267"/>
      <c r="CY66" s="267"/>
      <c r="CZ66" s="267"/>
      <c r="DA66" s="267"/>
      <c r="DB66" s="267"/>
      <c r="DC66" s="267"/>
      <c r="DD66" s="267"/>
      <c r="DE66" s="267"/>
      <c r="DF66" s="267"/>
      <c r="DG66" s="267"/>
      <c r="DH66" s="267"/>
      <c r="DI66" s="267"/>
      <c r="DJ66" s="267"/>
      <c r="DK66" s="267"/>
      <c r="DL66" s="267"/>
      <c r="DM66" s="267"/>
      <c r="DN66" s="267"/>
      <c r="DO66" s="267"/>
      <c r="DP66" s="267"/>
      <c r="DQ66" s="267"/>
      <c r="DR66" s="267"/>
      <c r="DS66" s="267"/>
      <c r="DT66" s="267"/>
      <c r="DU66" s="267"/>
      <c r="DV66" s="267"/>
      <c r="DW66" s="267"/>
      <c r="DX66" s="267"/>
      <c r="DY66" s="267"/>
      <c r="DZ66" s="267"/>
      <c r="EA66" s="267"/>
      <c r="EB66" s="267"/>
      <c r="EC66" s="267"/>
      <c r="ED66" s="267"/>
      <c r="EE66" s="267"/>
      <c r="EF66" s="267"/>
      <c r="EG66" s="267"/>
      <c r="EH66" s="267"/>
      <c r="EI66" s="267"/>
      <c r="EJ66" s="267"/>
      <c r="EK66" s="267"/>
      <c r="EL66" s="267"/>
      <c r="EM66" s="267"/>
      <c r="EN66" s="267"/>
      <c r="EO66" s="267"/>
      <c r="EP66" s="267"/>
      <c r="EQ66" s="267"/>
      <c r="ER66" s="267"/>
      <c r="ES66" s="267"/>
      <c r="ET66" s="267"/>
      <c r="EU66" s="267"/>
      <c r="EV66" s="267"/>
      <c r="EW66" s="267"/>
      <c r="EX66" s="267"/>
      <c r="EY66" s="267"/>
      <c r="EZ66" s="267"/>
      <c r="FA66" s="267"/>
      <c r="FB66" s="267"/>
      <c r="FC66" s="267"/>
      <c r="FD66" s="267"/>
      <c r="FE66" s="267"/>
      <c r="FF66" s="267"/>
      <c r="FG66" s="267"/>
      <c r="FH66" s="267"/>
      <c r="FI66" s="267"/>
      <c r="FJ66" s="267"/>
      <c r="FK66" s="267"/>
      <c r="FL66" s="267"/>
      <c r="FM66" s="267"/>
      <c r="FN66" s="267"/>
      <c r="FO66" s="267"/>
      <c r="FP66" s="267"/>
      <c r="FQ66" s="267"/>
      <c r="FR66" s="267"/>
      <c r="FS66" s="267"/>
      <c r="FT66" s="267"/>
      <c r="FU66" s="267"/>
      <c r="FV66" s="267"/>
      <c r="FW66" s="267"/>
      <c r="FX66" s="267"/>
      <c r="FY66" s="267"/>
      <c r="FZ66" s="267"/>
      <c r="GA66" s="267"/>
      <c r="GB66" s="267"/>
      <c r="GC66" s="267"/>
      <c r="GD66" s="267"/>
      <c r="GE66" s="267"/>
      <c r="GF66" s="267"/>
      <c r="GG66" s="267"/>
      <c r="GH66" s="267"/>
      <c r="GI66" s="267"/>
      <c r="GJ66" s="267"/>
      <c r="GK66" s="267"/>
      <c r="GL66" s="267"/>
      <c r="GM66" s="267"/>
      <c r="GN66" s="267"/>
      <c r="GO66" s="267"/>
      <c r="GP66" s="267"/>
      <c r="GQ66" s="267"/>
      <c r="GR66" s="267"/>
      <c r="GS66" s="267"/>
      <c r="GT66" s="267"/>
      <c r="GU66" s="267"/>
      <c r="GV66" s="267"/>
      <c r="GW66" s="267"/>
      <c r="GX66" s="267"/>
      <c r="GY66" s="267"/>
      <c r="GZ66" s="267"/>
      <c r="HA66" s="267"/>
      <c r="HB66" s="267"/>
      <c r="HC66" s="267"/>
      <c r="HD66" s="267"/>
      <c r="HE66" s="267"/>
      <c r="HF66" s="267"/>
      <c r="HG66" s="267"/>
      <c r="HH66" s="267"/>
      <c r="HI66" s="267"/>
      <c r="HJ66" s="267"/>
      <c r="HK66" s="267"/>
      <c r="HL66" s="267"/>
      <c r="HM66" s="267"/>
      <c r="HN66" s="267"/>
      <c r="HO66" s="267"/>
      <c r="HP66" s="267"/>
      <c r="HQ66" s="267"/>
      <c r="HR66" s="267"/>
      <c r="HS66" s="267"/>
      <c r="HT66" s="267"/>
      <c r="HU66" s="267"/>
      <c r="HV66" s="267"/>
      <c r="HW66" s="267"/>
      <c r="HX66" s="267"/>
      <c r="HY66" s="267"/>
      <c r="HZ66" s="267"/>
      <c r="IA66" s="267"/>
      <c r="IB66" s="267"/>
      <c r="IC66" s="267"/>
      <c r="ID66" s="267"/>
      <c r="IE66" s="267"/>
      <c r="IF66" s="267"/>
      <c r="IG66" s="267"/>
      <c r="IH66" s="267"/>
      <c r="II66" s="267"/>
      <c r="IJ66" s="267"/>
      <c r="IK66" s="267"/>
      <c r="IL66" s="267"/>
      <c r="IM66" s="267"/>
      <c r="IN66" s="267"/>
      <c r="IO66" s="267"/>
      <c r="IP66" s="267"/>
      <c r="IQ66" s="267"/>
      <c r="IR66" s="267"/>
      <c r="IS66" s="267"/>
      <c r="IT66" s="267"/>
    </row>
    <row r="67" spans="1:254" x14ac:dyDescent="0.2">
      <c r="A67" s="651" t="s">
        <v>185</v>
      </c>
      <c r="B67" s="651"/>
      <c r="C67" s="248">
        <f>C66</f>
        <v>0</v>
      </c>
      <c r="D67" s="249"/>
      <c r="E67" s="267"/>
      <c r="F67" s="268"/>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c r="BJ67" s="267"/>
      <c r="BK67" s="267"/>
      <c r="BL67" s="267"/>
      <c r="BM67" s="267"/>
      <c r="BN67" s="267"/>
      <c r="BO67" s="267"/>
      <c r="BP67" s="267"/>
      <c r="BQ67" s="267"/>
      <c r="BR67" s="267"/>
      <c r="BS67" s="267"/>
      <c r="BT67" s="267"/>
      <c r="BU67" s="267"/>
      <c r="BV67" s="267"/>
      <c r="BW67" s="267"/>
      <c r="BX67" s="267"/>
      <c r="BY67" s="267"/>
      <c r="BZ67" s="267"/>
      <c r="CA67" s="267"/>
      <c r="CB67" s="267"/>
      <c r="CC67" s="267"/>
      <c r="CD67" s="267"/>
      <c r="CE67" s="267"/>
      <c r="CF67" s="267"/>
      <c r="CG67" s="267"/>
      <c r="CH67" s="267"/>
      <c r="CI67" s="267"/>
      <c r="CJ67" s="267"/>
      <c r="CK67" s="267"/>
      <c r="CL67" s="267"/>
      <c r="CM67" s="267"/>
      <c r="CN67" s="267"/>
      <c r="CO67" s="267"/>
      <c r="CP67" s="267"/>
      <c r="CQ67" s="267"/>
      <c r="CR67" s="267"/>
      <c r="CS67" s="267"/>
      <c r="CT67" s="267"/>
      <c r="CU67" s="267"/>
      <c r="CV67" s="267"/>
      <c r="CW67" s="267"/>
      <c r="CX67" s="267"/>
      <c r="CY67" s="267"/>
      <c r="CZ67" s="267"/>
      <c r="DA67" s="267"/>
      <c r="DB67" s="267"/>
      <c r="DC67" s="267"/>
      <c r="DD67" s="267"/>
      <c r="DE67" s="267"/>
      <c r="DF67" s="267"/>
      <c r="DG67" s="267"/>
      <c r="DH67" s="267"/>
      <c r="DI67" s="267"/>
      <c r="DJ67" s="267"/>
      <c r="DK67" s="267"/>
      <c r="DL67" s="267"/>
      <c r="DM67" s="267"/>
      <c r="DN67" s="267"/>
      <c r="DO67" s="267"/>
      <c r="DP67" s="267"/>
      <c r="DQ67" s="267"/>
      <c r="DR67" s="267"/>
      <c r="DS67" s="267"/>
      <c r="DT67" s="267"/>
      <c r="DU67" s="267"/>
      <c r="DV67" s="267"/>
      <c r="DW67" s="267"/>
      <c r="DX67" s="267"/>
      <c r="DY67" s="267"/>
      <c r="DZ67" s="267"/>
      <c r="EA67" s="267"/>
      <c r="EB67" s="267"/>
      <c r="EC67" s="267"/>
      <c r="ED67" s="267"/>
      <c r="EE67" s="267"/>
      <c r="EF67" s="267"/>
      <c r="EG67" s="267"/>
      <c r="EH67" s="267"/>
      <c r="EI67" s="267"/>
      <c r="EJ67" s="267"/>
      <c r="EK67" s="267"/>
      <c r="EL67" s="267"/>
      <c r="EM67" s="267"/>
      <c r="EN67" s="267"/>
      <c r="EO67" s="267"/>
      <c r="EP67" s="267"/>
      <c r="EQ67" s="267"/>
      <c r="ER67" s="267"/>
      <c r="ES67" s="267"/>
      <c r="ET67" s="267"/>
      <c r="EU67" s="267"/>
      <c r="EV67" s="267"/>
      <c r="EW67" s="267"/>
      <c r="EX67" s="267"/>
      <c r="EY67" s="267"/>
      <c r="EZ67" s="267"/>
      <c r="FA67" s="267"/>
      <c r="FB67" s="267"/>
      <c r="FC67" s="267"/>
      <c r="FD67" s="267"/>
      <c r="FE67" s="267"/>
      <c r="FF67" s="267"/>
      <c r="FG67" s="267"/>
      <c r="FH67" s="267"/>
      <c r="FI67" s="267"/>
      <c r="FJ67" s="267"/>
      <c r="FK67" s="267"/>
      <c r="FL67" s="267"/>
      <c r="FM67" s="267"/>
      <c r="FN67" s="267"/>
      <c r="FO67" s="267"/>
      <c r="FP67" s="267"/>
      <c r="FQ67" s="267"/>
      <c r="FR67" s="267"/>
      <c r="FS67" s="267"/>
      <c r="FT67" s="267"/>
      <c r="FU67" s="267"/>
      <c r="FV67" s="267"/>
      <c r="FW67" s="267"/>
      <c r="FX67" s="267"/>
      <c r="FY67" s="267"/>
      <c r="FZ67" s="267"/>
      <c r="GA67" s="267"/>
      <c r="GB67" s="267"/>
      <c r="GC67" s="267"/>
      <c r="GD67" s="267"/>
      <c r="GE67" s="267"/>
      <c r="GF67" s="267"/>
      <c r="GG67" s="267"/>
      <c r="GH67" s="267"/>
      <c r="GI67" s="267"/>
      <c r="GJ67" s="267"/>
      <c r="GK67" s="267"/>
      <c r="GL67" s="267"/>
      <c r="GM67" s="267"/>
      <c r="GN67" s="267"/>
      <c r="GO67" s="267"/>
      <c r="GP67" s="267"/>
      <c r="GQ67" s="267"/>
      <c r="GR67" s="267"/>
      <c r="GS67" s="267"/>
      <c r="GT67" s="267"/>
      <c r="GU67" s="267"/>
      <c r="GV67" s="267"/>
      <c r="GW67" s="267"/>
      <c r="GX67" s="267"/>
      <c r="GY67" s="267"/>
      <c r="GZ67" s="267"/>
      <c r="HA67" s="267"/>
      <c r="HB67" s="267"/>
      <c r="HC67" s="267"/>
      <c r="HD67" s="267"/>
      <c r="HE67" s="267"/>
      <c r="HF67" s="267"/>
      <c r="HG67" s="267"/>
      <c r="HH67" s="267"/>
      <c r="HI67" s="267"/>
      <c r="HJ67" s="267"/>
      <c r="HK67" s="267"/>
      <c r="HL67" s="267"/>
      <c r="HM67" s="267"/>
      <c r="HN67" s="267"/>
      <c r="HO67" s="267"/>
      <c r="HP67" s="267"/>
      <c r="HQ67" s="267"/>
      <c r="HR67" s="267"/>
      <c r="HS67" s="267"/>
      <c r="HT67" s="267"/>
      <c r="HU67" s="267"/>
      <c r="HV67" s="267"/>
      <c r="HW67" s="267"/>
      <c r="HX67" s="267"/>
      <c r="HY67" s="267"/>
      <c r="HZ67" s="267"/>
      <c r="IA67" s="267"/>
      <c r="IB67" s="267"/>
      <c r="IC67" s="267"/>
      <c r="ID67" s="267"/>
      <c r="IE67" s="267"/>
      <c r="IF67" s="267"/>
      <c r="IG67" s="267"/>
      <c r="IH67" s="267"/>
      <c r="II67" s="267"/>
      <c r="IJ67" s="267"/>
      <c r="IK67" s="267"/>
      <c r="IL67" s="267"/>
      <c r="IM67" s="267"/>
      <c r="IN67" s="267"/>
      <c r="IO67" s="267"/>
      <c r="IP67" s="267"/>
      <c r="IQ67" s="267"/>
      <c r="IR67" s="267"/>
      <c r="IS67" s="267"/>
      <c r="IT67" s="267"/>
    </row>
    <row r="68" spans="1:254" x14ac:dyDescent="0.2">
      <c r="A68" s="363"/>
      <c r="B68" s="363"/>
      <c r="C68" s="359"/>
      <c r="D68" s="360"/>
    </row>
    <row r="69" spans="1:254" x14ac:dyDescent="0.2">
      <c r="A69" s="652" t="s">
        <v>186</v>
      </c>
      <c r="B69" s="652"/>
      <c r="C69" s="248">
        <f>C64+C66</f>
        <v>3.5000000000000001E-3</v>
      </c>
      <c r="D69" s="249"/>
    </row>
    <row r="70" spans="1:254" x14ac:dyDescent="0.2">
      <c r="A70" s="363"/>
      <c r="B70" s="363"/>
      <c r="C70" s="359"/>
      <c r="D70" s="360"/>
    </row>
    <row r="71" spans="1:254" x14ac:dyDescent="0.2">
      <c r="A71" s="363"/>
      <c r="B71" s="363"/>
      <c r="C71" s="359"/>
      <c r="D71" s="360"/>
    </row>
    <row r="72" spans="1:254" x14ac:dyDescent="0.2">
      <c r="A72" s="646" t="s">
        <v>187</v>
      </c>
      <c r="B72" s="646"/>
      <c r="C72" s="646"/>
      <c r="D72" s="646"/>
    </row>
    <row r="73" spans="1:254" x14ac:dyDescent="0.2">
      <c r="A73" s="653"/>
      <c r="B73" s="653"/>
      <c r="C73" s="653"/>
      <c r="D73" s="653"/>
    </row>
    <row r="74" spans="1:254" x14ac:dyDescent="0.2">
      <c r="A74" s="654" t="s">
        <v>188</v>
      </c>
      <c r="B74" s="655"/>
      <c r="C74" s="656"/>
      <c r="D74" s="229" t="s">
        <v>117</v>
      </c>
    </row>
    <row r="75" spans="1:254" x14ac:dyDescent="0.2">
      <c r="A75" s="226" t="s">
        <v>84</v>
      </c>
      <c r="B75" s="639" t="s">
        <v>189</v>
      </c>
      <c r="C75" s="640"/>
      <c r="D75" s="269">
        <f>C40</f>
        <v>0.56210000000000004</v>
      </c>
      <c r="E75" s="270"/>
    </row>
    <row r="76" spans="1:254" x14ac:dyDescent="0.2">
      <c r="A76" s="226" t="s">
        <v>86</v>
      </c>
      <c r="B76" s="639" t="s">
        <v>190</v>
      </c>
      <c r="C76" s="640"/>
      <c r="D76" s="269">
        <f>C52</f>
        <v>7.4368000000000004E-2</v>
      </c>
      <c r="E76" s="270"/>
    </row>
    <row r="77" spans="1:254" x14ac:dyDescent="0.2">
      <c r="A77" s="226" t="s">
        <v>191</v>
      </c>
      <c r="B77" s="639" t="s">
        <v>192</v>
      </c>
      <c r="C77" s="640"/>
      <c r="D77" s="269">
        <f>C69</f>
        <v>3.5000000000000001E-3</v>
      </c>
      <c r="E77" s="270"/>
    </row>
    <row r="78" spans="1:254" ht="13.5" thickBot="1" x14ac:dyDescent="0.25">
      <c r="A78" s="271" t="s">
        <v>193</v>
      </c>
      <c r="B78" s="641" t="s">
        <v>26</v>
      </c>
      <c r="C78" s="642"/>
      <c r="D78" s="272"/>
      <c r="E78" s="270"/>
      <c r="J78" s="273">
        <v>1</v>
      </c>
      <c r="K78" s="233">
        <v>0.21440000000000001</v>
      </c>
      <c r="L78" s="273">
        <f>J78-K78</f>
        <v>0.78559999999999997</v>
      </c>
    </row>
    <row r="79" spans="1:254" ht="13.5" thickBot="1" x14ac:dyDescent="0.25">
      <c r="A79" s="643" t="s">
        <v>194</v>
      </c>
      <c r="B79" s="644"/>
      <c r="C79" s="645"/>
      <c r="D79" s="274">
        <f>SUM(D75:D77)</f>
        <v>0.63996799999999998</v>
      </c>
      <c r="H79" s="275" t="e">
        <f>D79-#REF!</f>
        <v>#REF!</v>
      </c>
      <c r="I79" s="225">
        <v>225.53</v>
      </c>
      <c r="J79" s="225" t="e">
        <f>I79/#REF!*100</f>
        <v>#REF!</v>
      </c>
    </row>
    <row r="80" spans="1:254" ht="12" customHeight="1" x14ac:dyDescent="0.2">
      <c r="J80" s="273" t="e">
        <f>J78-J79</f>
        <v>#REF!</v>
      </c>
    </row>
  </sheetData>
  <mergeCells count="45">
    <mergeCell ref="C6:D6"/>
    <mergeCell ref="A1:D1"/>
    <mergeCell ref="A2:D2"/>
    <mergeCell ref="A4:B4"/>
    <mergeCell ref="C4:D4"/>
    <mergeCell ref="C5:D5"/>
    <mergeCell ref="A21:B21"/>
    <mergeCell ref="C7:D7"/>
    <mergeCell ref="C8:D8"/>
    <mergeCell ref="C9:D9"/>
    <mergeCell ref="C10:D10"/>
    <mergeCell ref="C11:D11"/>
    <mergeCell ref="A12:D12"/>
    <mergeCell ref="A13:D13"/>
    <mergeCell ref="A14:D14"/>
    <mergeCell ref="A15:B15"/>
    <mergeCell ref="A18:B18"/>
    <mergeCell ref="A20:B20"/>
    <mergeCell ref="A52:B52"/>
    <mergeCell ref="A31:B31"/>
    <mergeCell ref="A32:B32"/>
    <mergeCell ref="C32:D32"/>
    <mergeCell ref="C33:D33"/>
    <mergeCell ref="C34:D34"/>
    <mergeCell ref="C35:D35"/>
    <mergeCell ref="C36:D36"/>
    <mergeCell ref="C37:D37"/>
    <mergeCell ref="C38:D38"/>
    <mergeCell ref="A40:B40"/>
    <mergeCell ref="A42:D42"/>
    <mergeCell ref="B77:C77"/>
    <mergeCell ref="B78:C78"/>
    <mergeCell ref="A79:C79"/>
    <mergeCell ref="B76:C76"/>
    <mergeCell ref="A54:D54"/>
    <mergeCell ref="A56:B56"/>
    <mergeCell ref="A63:B63"/>
    <mergeCell ref="A64:B64"/>
    <mergeCell ref="A65:B65"/>
    <mergeCell ref="A67:B67"/>
    <mergeCell ref="A69:B69"/>
    <mergeCell ref="A72:D72"/>
    <mergeCell ref="A73:D73"/>
    <mergeCell ref="A74:C74"/>
    <mergeCell ref="B75:C75"/>
  </mergeCells>
  <pageMargins left="0.511811024" right="0.511811024" top="1.4012500000000001" bottom="1.0529166666666667" header="0.31496062000000002" footer="0.31496062000000002"/>
  <pageSetup paperSize="9" scale="4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K145"/>
  <sheetViews>
    <sheetView view="pageBreakPreview" zoomScale="140" zoomScaleNormal="100" zoomScaleSheetLayoutView="140" workbookViewId="0">
      <selection activeCell="B13" sqref="B13:G13"/>
    </sheetView>
  </sheetViews>
  <sheetFormatPr defaultRowHeight="12.75" x14ac:dyDescent="0.2"/>
  <cols>
    <col min="1" max="1" width="9.140625" style="12"/>
    <col min="2" max="2" width="11.7109375" style="12" customWidth="1"/>
    <col min="3" max="6" width="9.140625" style="12"/>
    <col min="7" max="7" width="13.42578125" style="12" customWidth="1"/>
    <col min="8" max="8" width="14.140625" style="12" customWidth="1"/>
    <col min="9" max="9" width="16.42578125" style="203" bestFit="1" customWidth="1"/>
    <col min="10" max="10" width="12" style="12" customWidth="1"/>
    <col min="11" max="11" width="14.28515625" style="12" bestFit="1" customWidth="1"/>
    <col min="12" max="12" width="9.140625" style="12"/>
    <col min="13" max="13" width="13.7109375" style="12" bestFit="1" customWidth="1"/>
    <col min="14" max="1025" width="9.140625" style="12"/>
    <col min="1026" max="16384" width="9.140625" style="30"/>
  </cols>
  <sheetData>
    <row r="1" spans="1:15" ht="18.75" customHeight="1" x14ac:dyDescent="0.2">
      <c r="A1" s="479" t="s">
        <v>318</v>
      </c>
      <c r="B1" s="479"/>
      <c r="C1" s="479"/>
      <c r="D1" s="479"/>
      <c r="E1" s="479"/>
      <c r="F1" s="479"/>
      <c r="G1" s="479"/>
      <c r="H1" s="479"/>
      <c r="I1" s="479"/>
      <c r="J1" s="30"/>
      <c r="K1" s="30"/>
      <c r="L1" s="30"/>
      <c r="M1" s="30"/>
      <c r="O1" s="30"/>
    </row>
    <row r="2" spans="1:15" ht="11.25" customHeight="1" x14ac:dyDescent="0.2">
      <c r="A2" s="479" t="s">
        <v>319</v>
      </c>
      <c r="B2" s="479"/>
      <c r="C2" s="479"/>
      <c r="D2" s="479"/>
      <c r="E2" s="479"/>
      <c r="F2" s="479"/>
      <c r="G2" s="479"/>
      <c r="H2" s="479"/>
      <c r="I2" s="479"/>
      <c r="J2" s="30"/>
      <c r="K2" s="30"/>
      <c r="L2" s="30"/>
      <c r="M2" s="30"/>
      <c r="O2" s="30"/>
    </row>
    <row r="3" spans="1:15" ht="12.75" customHeight="1" x14ac:dyDescent="0.2">
      <c r="A3" s="479" t="s">
        <v>320</v>
      </c>
      <c r="B3" s="479"/>
      <c r="C3" s="479"/>
      <c r="D3" s="479"/>
      <c r="E3" s="479"/>
      <c r="F3" s="479"/>
      <c r="G3" s="479"/>
      <c r="H3" s="479"/>
      <c r="I3" s="479"/>
      <c r="J3" s="30"/>
      <c r="K3" s="30"/>
      <c r="L3" s="30"/>
      <c r="M3" s="30"/>
      <c r="O3" s="30"/>
    </row>
    <row r="4" spans="1:15" x14ac:dyDescent="0.2">
      <c r="A4" s="470"/>
      <c r="B4" s="470"/>
      <c r="C4" s="470"/>
      <c r="D4" s="470"/>
      <c r="E4" s="470"/>
      <c r="F4" s="470"/>
      <c r="G4" s="470"/>
      <c r="H4" s="470"/>
      <c r="I4" s="470"/>
      <c r="J4" s="30"/>
      <c r="K4" s="30"/>
      <c r="L4" s="30"/>
      <c r="M4" s="30"/>
      <c r="O4" s="30"/>
    </row>
    <row r="5" spans="1:15" ht="8.25" customHeight="1" x14ac:dyDescent="0.2">
      <c r="A5" s="125"/>
      <c r="B5" s="125"/>
      <c r="C5" s="125"/>
      <c r="D5" s="125"/>
      <c r="E5" s="125"/>
      <c r="F5" s="125"/>
      <c r="G5" s="125"/>
      <c r="H5" s="125"/>
      <c r="I5" s="187"/>
      <c r="J5" s="30"/>
      <c r="K5" s="30"/>
      <c r="L5" s="30"/>
      <c r="M5" s="30"/>
      <c r="O5" s="30"/>
    </row>
    <row r="6" spans="1:15" x14ac:dyDescent="0.2">
      <c r="A6" s="480" t="s">
        <v>347</v>
      </c>
      <c r="B6" s="480"/>
      <c r="C6" s="480"/>
      <c r="D6" s="480"/>
      <c r="E6" s="480"/>
      <c r="F6" s="480"/>
      <c r="G6" s="480"/>
      <c r="H6" s="480"/>
      <c r="I6" s="480"/>
      <c r="J6" s="30"/>
      <c r="K6" s="30"/>
      <c r="L6" s="30"/>
      <c r="M6" s="30"/>
      <c r="O6" s="30"/>
    </row>
    <row r="7" spans="1:15" ht="9.75" customHeight="1" x14ac:dyDescent="0.2">
      <c r="A7" s="134"/>
      <c r="B7" s="134"/>
      <c r="C7" s="134"/>
      <c r="D7" s="134"/>
      <c r="E7" s="134"/>
      <c r="F7" s="134"/>
      <c r="G7" s="134"/>
      <c r="H7" s="134"/>
      <c r="I7" s="145"/>
      <c r="J7" s="30"/>
      <c r="K7" s="30"/>
      <c r="L7" s="30"/>
      <c r="M7" s="30"/>
      <c r="O7" s="30"/>
    </row>
    <row r="8" spans="1:15" x14ac:dyDescent="0.2">
      <c r="A8" s="480" t="s">
        <v>462</v>
      </c>
      <c r="B8" s="480"/>
      <c r="C8" s="480"/>
      <c r="D8" s="480"/>
      <c r="E8" s="480"/>
      <c r="F8" s="480"/>
      <c r="G8" s="480"/>
      <c r="H8" s="480"/>
      <c r="I8" s="480"/>
      <c r="J8" s="30"/>
      <c r="K8" s="30"/>
      <c r="L8" s="30"/>
      <c r="M8" s="30"/>
      <c r="O8" s="30"/>
    </row>
    <row r="9" spans="1:15" x14ac:dyDescent="0.2">
      <c r="A9" s="1"/>
      <c r="B9" s="1"/>
      <c r="C9" s="1"/>
      <c r="D9" s="1"/>
      <c r="E9" s="1"/>
      <c r="F9" s="1"/>
      <c r="G9" s="1"/>
      <c r="H9" s="1"/>
      <c r="I9" s="188"/>
      <c r="J9" s="30"/>
      <c r="K9" s="30"/>
      <c r="L9" s="30"/>
      <c r="M9" s="30"/>
      <c r="O9" s="30"/>
    </row>
    <row r="10" spans="1:15" x14ac:dyDescent="0.2">
      <c r="A10" s="473" t="s">
        <v>0</v>
      </c>
      <c r="B10" s="473"/>
      <c r="C10" s="473"/>
      <c r="D10" s="473"/>
      <c r="E10" s="473"/>
      <c r="F10" s="473"/>
      <c r="G10" s="473"/>
      <c r="H10" s="473"/>
      <c r="I10" s="473"/>
      <c r="J10" s="30"/>
      <c r="K10" s="30"/>
      <c r="L10" s="30"/>
      <c r="M10" s="30"/>
      <c r="O10" s="30"/>
    </row>
    <row r="11" spans="1:15" x14ac:dyDescent="0.2">
      <c r="A11" s="60" t="s">
        <v>1</v>
      </c>
      <c r="B11" s="428" t="s">
        <v>315</v>
      </c>
      <c r="C11" s="428"/>
      <c r="D11" s="428"/>
      <c r="E11" s="428"/>
      <c r="F11" s="428"/>
      <c r="G11" s="428"/>
      <c r="H11" s="478" t="s">
        <v>463</v>
      </c>
      <c r="I11" s="478"/>
      <c r="J11" s="30"/>
      <c r="K11" s="30"/>
      <c r="L11" s="30"/>
      <c r="M11" s="30"/>
      <c r="O11" s="30"/>
    </row>
    <row r="12" spans="1:15" x14ac:dyDescent="0.2">
      <c r="A12" s="60" t="s">
        <v>2</v>
      </c>
      <c r="B12" s="428" t="s">
        <v>317</v>
      </c>
      <c r="C12" s="428"/>
      <c r="D12" s="428"/>
      <c r="E12" s="428"/>
      <c r="F12" s="428"/>
      <c r="G12" s="428"/>
      <c r="H12" s="471" t="s">
        <v>118</v>
      </c>
      <c r="I12" s="471"/>
      <c r="J12" s="30"/>
      <c r="K12" s="30"/>
      <c r="L12" s="30"/>
      <c r="M12" s="30"/>
      <c r="O12" s="30"/>
    </row>
    <row r="13" spans="1:15" x14ac:dyDescent="0.2">
      <c r="A13" s="60" t="s">
        <v>4</v>
      </c>
      <c r="B13" s="428" t="s">
        <v>5</v>
      </c>
      <c r="C13" s="428"/>
      <c r="D13" s="428"/>
      <c r="E13" s="428"/>
      <c r="F13" s="428"/>
      <c r="G13" s="428"/>
      <c r="H13" s="481" t="s">
        <v>480</v>
      </c>
      <c r="I13" s="481"/>
      <c r="J13" s="30"/>
      <c r="K13" s="30"/>
      <c r="L13" s="30"/>
      <c r="M13" s="30"/>
      <c r="O13" s="30"/>
    </row>
    <row r="14" spans="1:15" x14ac:dyDescent="0.2">
      <c r="A14" s="60" t="s">
        <v>6</v>
      </c>
      <c r="B14" s="428" t="s">
        <v>7</v>
      </c>
      <c r="C14" s="428"/>
      <c r="D14" s="428"/>
      <c r="E14" s="428"/>
      <c r="F14" s="428"/>
      <c r="G14" s="428"/>
      <c r="H14" s="471">
        <v>12</v>
      </c>
      <c r="I14" s="471"/>
      <c r="J14" s="30"/>
      <c r="K14" s="30"/>
      <c r="L14" s="30"/>
      <c r="M14" s="30"/>
      <c r="O14" s="30"/>
    </row>
    <row r="15" spans="1:15" x14ac:dyDescent="0.2">
      <c r="A15" s="59"/>
      <c r="B15" s="65"/>
      <c r="C15" s="65"/>
      <c r="D15" s="65"/>
      <c r="E15" s="65"/>
      <c r="F15" s="65"/>
      <c r="G15" s="65"/>
      <c r="H15" s="59"/>
      <c r="I15" s="187"/>
      <c r="J15" s="30"/>
      <c r="K15" s="30"/>
      <c r="L15" s="30"/>
      <c r="M15" s="30"/>
      <c r="O15" s="30"/>
    </row>
    <row r="16" spans="1:15" x14ac:dyDescent="0.2">
      <c r="A16" s="473" t="s">
        <v>8</v>
      </c>
      <c r="B16" s="473"/>
      <c r="C16" s="473"/>
      <c r="D16" s="473"/>
      <c r="E16" s="473"/>
      <c r="F16" s="473"/>
      <c r="G16" s="473"/>
      <c r="H16" s="473"/>
      <c r="I16" s="473"/>
      <c r="J16" s="30"/>
      <c r="K16" s="30"/>
      <c r="L16" s="30"/>
      <c r="M16" s="30"/>
      <c r="O16" s="30"/>
    </row>
    <row r="17" spans="1:15" x14ac:dyDescent="0.2">
      <c r="A17" s="471" t="s">
        <v>9</v>
      </c>
      <c r="B17" s="471"/>
      <c r="C17" s="471" t="s">
        <v>10</v>
      </c>
      <c r="D17" s="471"/>
      <c r="E17" s="471" t="s">
        <v>11</v>
      </c>
      <c r="F17" s="471"/>
      <c r="G17" s="471"/>
      <c r="H17" s="471"/>
      <c r="I17" s="471"/>
      <c r="J17" s="30"/>
      <c r="K17" s="30"/>
      <c r="L17" s="30"/>
      <c r="M17" s="30"/>
      <c r="O17" s="30"/>
    </row>
    <row r="18" spans="1:15" ht="31.5" customHeight="1" x14ac:dyDescent="0.2">
      <c r="A18" s="474" t="s">
        <v>467</v>
      </c>
      <c r="B18" s="475"/>
      <c r="C18" s="476" t="s">
        <v>365</v>
      </c>
      <c r="D18" s="476"/>
      <c r="E18" s="477">
        <v>32</v>
      </c>
      <c r="F18" s="477"/>
      <c r="G18" s="477"/>
      <c r="H18" s="477"/>
      <c r="I18" s="477"/>
      <c r="J18" s="30"/>
      <c r="K18" s="30"/>
      <c r="L18" s="30"/>
      <c r="M18" s="30"/>
      <c r="O18" s="30"/>
    </row>
    <row r="19" spans="1:15" x14ac:dyDescent="0.2">
      <c r="A19" s="59"/>
      <c r="B19" s="65"/>
      <c r="C19" s="65"/>
      <c r="D19" s="65"/>
      <c r="E19" s="65"/>
      <c r="F19" s="65"/>
      <c r="G19" s="65"/>
      <c r="H19" s="59"/>
      <c r="I19" s="187"/>
      <c r="J19" s="30"/>
      <c r="K19" s="30"/>
      <c r="L19" s="30"/>
      <c r="M19" s="30"/>
      <c r="O19" s="30"/>
    </row>
    <row r="20" spans="1:15" x14ac:dyDescent="0.2">
      <c r="A20" s="473" t="s">
        <v>330</v>
      </c>
      <c r="B20" s="473"/>
      <c r="C20" s="473"/>
      <c r="D20" s="473"/>
      <c r="E20" s="473"/>
      <c r="F20" s="473"/>
      <c r="G20" s="473"/>
      <c r="H20" s="473"/>
      <c r="I20" s="473"/>
      <c r="J20" s="30"/>
      <c r="K20" s="30"/>
      <c r="L20" s="30"/>
      <c r="M20" s="205"/>
      <c r="O20" s="30"/>
    </row>
    <row r="21" spans="1:15" ht="24.75" customHeight="1" x14ac:dyDescent="0.2">
      <c r="A21" s="60">
        <v>1</v>
      </c>
      <c r="B21" s="428" t="s">
        <v>12</v>
      </c>
      <c r="C21" s="428"/>
      <c r="D21" s="428"/>
      <c r="E21" s="428"/>
      <c r="F21" s="428"/>
      <c r="G21" s="428"/>
      <c r="H21" s="468" t="str">
        <f>A18</f>
        <v>VIGILANTE DIURNO</v>
      </c>
      <c r="I21" s="468"/>
      <c r="J21" s="30"/>
      <c r="K21" s="30"/>
      <c r="L21" s="30"/>
      <c r="M21" s="30"/>
      <c r="O21" s="30"/>
    </row>
    <row r="22" spans="1:15" x14ac:dyDescent="0.2">
      <c r="A22" s="60">
        <v>2</v>
      </c>
      <c r="B22" s="428" t="s">
        <v>13</v>
      </c>
      <c r="C22" s="428"/>
      <c r="D22" s="428"/>
      <c r="E22" s="428"/>
      <c r="F22" s="428"/>
      <c r="G22" s="428"/>
      <c r="H22" s="471"/>
      <c r="I22" s="471"/>
      <c r="J22" s="30"/>
      <c r="K22" s="30"/>
      <c r="L22" s="30"/>
      <c r="M22" s="30"/>
      <c r="O22" s="30"/>
    </row>
    <row r="23" spans="1:15" x14ac:dyDescent="0.2">
      <c r="A23" s="60">
        <v>3</v>
      </c>
      <c r="B23" s="428" t="s">
        <v>326</v>
      </c>
      <c r="C23" s="428"/>
      <c r="D23" s="428"/>
      <c r="E23" s="428"/>
      <c r="F23" s="428"/>
      <c r="G23" s="428"/>
      <c r="H23" s="472">
        <v>2192.65</v>
      </c>
      <c r="I23" s="472"/>
      <c r="J23" s="30"/>
      <c r="K23" s="132"/>
      <c r="L23" s="30"/>
      <c r="M23" s="30"/>
      <c r="O23" s="30"/>
    </row>
    <row r="24" spans="1:15" ht="27" customHeight="1" x14ac:dyDescent="0.2">
      <c r="A24" s="60">
        <v>4</v>
      </c>
      <c r="B24" s="428" t="s">
        <v>14</v>
      </c>
      <c r="C24" s="428"/>
      <c r="D24" s="428"/>
      <c r="E24" s="428"/>
      <c r="F24" s="428"/>
      <c r="G24" s="428"/>
      <c r="H24" s="468" t="str">
        <f>H21</f>
        <v>VIGILANTE DIURNO</v>
      </c>
      <c r="I24" s="468"/>
      <c r="J24" s="30"/>
      <c r="K24" s="30"/>
      <c r="L24" s="30"/>
      <c r="M24" s="30"/>
      <c r="O24" s="30"/>
    </row>
    <row r="25" spans="1:15" x14ac:dyDescent="0.2">
      <c r="A25" s="60">
        <v>5</v>
      </c>
      <c r="B25" s="428" t="s">
        <v>15</v>
      </c>
      <c r="C25" s="428"/>
      <c r="D25" s="428"/>
      <c r="E25" s="428"/>
      <c r="F25" s="428"/>
      <c r="G25" s="428"/>
      <c r="H25" s="469">
        <v>43831</v>
      </c>
      <c r="I25" s="469"/>
      <c r="J25" s="30"/>
      <c r="K25" s="30"/>
      <c r="L25" s="30"/>
      <c r="M25" s="30"/>
      <c r="O25" s="30"/>
    </row>
    <row r="26" spans="1:15" x14ac:dyDescent="0.2">
      <c r="A26" s="470"/>
      <c r="B26" s="470"/>
      <c r="C26" s="470"/>
      <c r="D26" s="470"/>
      <c r="E26" s="470"/>
      <c r="F26" s="470"/>
      <c r="G26" s="470"/>
      <c r="H26" s="470"/>
      <c r="I26" s="470"/>
      <c r="J26" s="30"/>
      <c r="K26" s="30"/>
      <c r="L26" s="30"/>
      <c r="M26" s="30"/>
      <c r="O26" s="30"/>
    </row>
    <row r="27" spans="1:15" x14ac:dyDescent="0.2">
      <c r="A27" s="431" t="s">
        <v>16</v>
      </c>
      <c r="B27" s="431"/>
      <c r="C27" s="431"/>
      <c r="D27" s="431"/>
      <c r="E27" s="431"/>
      <c r="F27" s="431"/>
      <c r="G27" s="431"/>
      <c r="H27" s="431"/>
      <c r="I27" s="431"/>
      <c r="J27" s="30"/>
      <c r="K27" s="30"/>
      <c r="L27" s="30"/>
      <c r="M27" s="30"/>
      <c r="O27" s="30"/>
    </row>
    <row r="28" spans="1:15" x14ac:dyDescent="0.2">
      <c r="A28" s="451" t="s">
        <v>17</v>
      </c>
      <c r="B28" s="451"/>
      <c r="C28" s="451"/>
      <c r="D28" s="451"/>
      <c r="E28" s="451"/>
      <c r="F28" s="451"/>
      <c r="G28" s="451"/>
      <c r="H28" s="211" t="s">
        <v>18</v>
      </c>
      <c r="I28" s="211" t="s">
        <v>19</v>
      </c>
      <c r="J28" s="30"/>
      <c r="K28" s="30"/>
      <c r="L28" s="30"/>
      <c r="M28" s="30"/>
      <c r="O28" s="30"/>
    </row>
    <row r="29" spans="1:15" x14ac:dyDescent="0.2">
      <c r="A29" s="61" t="s">
        <v>1</v>
      </c>
      <c r="B29" s="428" t="s">
        <v>20</v>
      </c>
      <c r="C29" s="428"/>
      <c r="D29" s="428"/>
      <c r="E29" s="428"/>
      <c r="F29" s="428"/>
      <c r="G29" s="428"/>
      <c r="H29" s="63"/>
      <c r="I29" s="190">
        <f>H23</f>
        <v>2192.65</v>
      </c>
      <c r="J29" s="30"/>
      <c r="K29" s="30"/>
      <c r="L29" s="30"/>
      <c r="M29" s="30"/>
      <c r="O29" s="30"/>
    </row>
    <row r="30" spans="1:15" x14ac:dyDescent="0.2">
      <c r="A30" s="378" t="s">
        <v>2</v>
      </c>
      <c r="B30" s="467" t="s">
        <v>403</v>
      </c>
      <c r="C30" s="467"/>
      <c r="D30" s="467"/>
      <c r="E30" s="467"/>
      <c r="F30" s="467"/>
      <c r="G30" s="467"/>
      <c r="H30" s="356">
        <v>0.3</v>
      </c>
      <c r="I30" s="284">
        <f>I29*H30</f>
        <v>657.79499999999996</v>
      </c>
      <c r="J30" s="30"/>
      <c r="K30" s="30"/>
      <c r="L30" s="30"/>
      <c r="M30" s="30"/>
      <c r="O30" s="30"/>
    </row>
    <row r="31" spans="1:15" x14ac:dyDescent="0.2">
      <c r="A31" s="61" t="s">
        <v>4</v>
      </c>
      <c r="B31" s="428" t="s">
        <v>21</v>
      </c>
      <c r="C31" s="428"/>
      <c r="D31" s="428"/>
      <c r="E31" s="428"/>
      <c r="F31" s="428"/>
      <c r="G31" s="428"/>
      <c r="H31" s="2"/>
      <c r="I31" s="190">
        <f>H31*I29</f>
        <v>0</v>
      </c>
      <c r="J31" s="30"/>
      <c r="K31" s="30"/>
      <c r="L31" s="30"/>
      <c r="M31" s="30"/>
      <c r="O31" s="30"/>
    </row>
    <row r="32" spans="1:15" x14ac:dyDescent="0.2">
      <c r="A32" s="61" t="s">
        <v>6</v>
      </c>
      <c r="B32" s="428" t="s">
        <v>22</v>
      </c>
      <c r="C32" s="428"/>
      <c r="D32" s="428"/>
      <c r="E32" s="428"/>
      <c r="F32" s="428"/>
      <c r="G32" s="428"/>
      <c r="H32" s="2"/>
      <c r="I32" s="190">
        <f>I29*H32</f>
        <v>0</v>
      </c>
      <c r="J32" s="30"/>
      <c r="K32" s="30"/>
      <c r="L32" s="30"/>
      <c r="M32" s="30"/>
      <c r="O32" s="30"/>
    </row>
    <row r="33" spans="1:15" x14ac:dyDescent="0.2">
      <c r="A33" s="61" t="s">
        <v>23</v>
      </c>
      <c r="B33" s="428" t="s">
        <v>24</v>
      </c>
      <c r="C33" s="428"/>
      <c r="D33" s="428"/>
      <c r="E33" s="428"/>
      <c r="F33" s="428"/>
      <c r="G33" s="428"/>
      <c r="H33" s="2"/>
      <c r="I33" s="190">
        <v>0</v>
      </c>
      <c r="J33" s="30"/>
      <c r="K33" s="30"/>
      <c r="L33" s="30"/>
      <c r="M33" s="30"/>
      <c r="O33" s="30"/>
    </row>
    <row r="34" spans="1:15" x14ac:dyDescent="0.2">
      <c r="A34" s="61" t="s">
        <v>25</v>
      </c>
      <c r="B34" s="428" t="s">
        <v>26</v>
      </c>
      <c r="C34" s="428"/>
      <c r="D34" s="428"/>
      <c r="E34" s="428"/>
      <c r="F34" s="428"/>
      <c r="G34" s="428"/>
      <c r="H34" s="2"/>
      <c r="I34" s="190">
        <v>0</v>
      </c>
      <c r="J34" s="30"/>
      <c r="K34" s="30"/>
      <c r="L34" s="30"/>
      <c r="M34" s="30"/>
      <c r="O34" s="30"/>
    </row>
    <row r="35" spans="1:15" x14ac:dyDescent="0.2">
      <c r="A35" s="427" t="s">
        <v>27</v>
      </c>
      <c r="B35" s="427"/>
      <c r="C35" s="427"/>
      <c r="D35" s="427"/>
      <c r="E35" s="427"/>
      <c r="F35" s="427"/>
      <c r="G35" s="427"/>
      <c r="H35" s="427"/>
      <c r="I35" s="191">
        <f>TRUNC(SUM(I29:I34),2)</f>
        <v>2850.44</v>
      </c>
      <c r="J35" s="30"/>
      <c r="K35" s="30"/>
      <c r="L35" s="30"/>
      <c r="M35" s="30"/>
      <c r="O35" s="30"/>
    </row>
    <row r="36" spans="1:15" x14ac:dyDescent="0.2">
      <c r="A36" s="463"/>
      <c r="B36" s="463"/>
      <c r="C36" s="463"/>
      <c r="D36" s="463"/>
      <c r="E36" s="463"/>
      <c r="F36" s="463"/>
      <c r="G36" s="463"/>
      <c r="H36" s="463"/>
      <c r="I36" s="463"/>
      <c r="J36" s="30"/>
      <c r="K36" s="30"/>
      <c r="L36" s="30"/>
      <c r="M36" s="30"/>
      <c r="O36" s="30"/>
    </row>
    <row r="37" spans="1:15" x14ac:dyDescent="0.2">
      <c r="A37" s="431" t="s">
        <v>28</v>
      </c>
      <c r="B37" s="431"/>
      <c r="C37" s="431"/>
      <c r="D37" s="431"/>
      <c r="E37" s="431"/>
      <c r="F37" s="431"/>
      <c r="G37" s="431"/>
      <c r="H37" s="431"/>
      <c r="I37" s="431"/>
      <c r="J37" s="3"/>
      <c r="K37" s="30"/>
      <c r="L37" s="30"/>
      <c r="M37" s="30"/>
      <c r="O37" s="30"/>
    </row>
    <row r="38" spans="1:15" x14ac:dyDescent="0.2">
      <c r="A38" s="451" t="s">
        <v>29</v>
      </c>
      <c r="B38" s="451"/>
      <c r="C38" s="451"/>
      <c r="D38" s="451"/>
      <c r="E38" s="451"/>
      <c r="F38" s="451"/>
      <c r="G38" s="451"/>
      <c r="H38" s="211" t="s">
        <v>18</v>
      </c>
      <c r="I38" s="211" t="s">
        <v>19</v>
      </c>
      <c r="J38" s="3"/>
      <c r="K38" s="30"/>
      <c r="L38" s="30"/>
      <c r="M38" s="30"/>
      <c r="O38" s="30"/>
    </row>
    <row r="39" spans="1:15" x14ac:dyDescent="0.2">
      <c r="A39" s="61" t="s">
        <v>1</v>
      </c>
      <c r="B39" s="428" t="s">
        <v>30</v>
      </c>
      <c r="C39" s="428"/>
      <c r="D39" s="428"/>
      <c r="E39" s="428"/>
      <c r="F39" s="428"/>
      <c r="G39" s="428"/>
      <c r="H39" s="4">
        <f>1/12</f>
        <v>8.3333333333333329E-2</v>
      </c>
      <c r="I39" s="192">
        <f>$I$35*H39</f>
        <v>237.53666666666666</v>
      </c>
      <c r="J39" s="3"/>
      <c r="K39" s="30"/>
      <c r="L39" s="30"/>
      <c r="M39" s="30"/>
      <c r="O39" s="30"/>
    </row>
    <row r="40" spans="1:15" x14ac:dyDescent="0.2">
      <c r="A40" s="61" t="s">
        <v>2</v>
      </c>
      <c r="B40" s="428" t="s">
        <v>31</v>
      </c>
      <c r="C40" s="428"/>
      <c r="D40" s="428"/>
      <c r="E40" s="428"/>
      <c r="F40" s="428"/>
      <c r="G40" s="428"/>
      <c r="H40" s="4">
        <v>0.121</v>
      </c>
      <c r="I40" s="192">
        <f>H40*I35</f>
        <v>344.90323999999998</v>
      </c>
      <c r="J40" s="3"/>
      <c r="K40" s="30"/>
      <c r="L40" s="30"/>
      <c r="M40" s="30"/>
      <c r="O40" s="30"/>
    </row>
    <row r="41" spans="1:15" x14ac:dyDescent="0.2">
      <c r="A41" s="304" t="s">
        <v>4</v>
      </c>
      <c r="B41" s="464" t="s">
        <v>394</v>
      </c>
      <c r="C41" s="465"/>
      <c r="D41" s="465"/>
      <c r="E41" s="465"/>
      <c r="F41" s="465"/>
      <c r="G41" s="466"/>
      <c r="H41" s="305">
        <f>(H39+H40)*H58</f>
        <v>8.1324666666666656E-2</v>
      </c>
      <c r="I41" s="306">
        <f>ROUND(((I39+I40)*H58),2)</f>
        <v>231.81</v>
      </c>
      <c r="J41" s="3"/>
      <c r="K41" s="30"/>
      <c r="L41" s="30"/>
      <c r="M41" s="30"/>
      <c r="O41" s="30"/>
    </row>
    <row r="42" spans="1:15" x14ac:dyDescent="0.2">
      <c r="A42" s="61"/>
      <c r="B42" s="460" t="s">
        <v>117</v>
      </c>
      <c r="C42" s="461"/>
      <c r="D42" s="461"/>
      <c r="E42" s="461"/>
      <c r="F42" s="461"/>
      <c r="G42" s="462"/>
      <c r="H42" s="41">
        <f>SUM(H39:H41)</f>
        <v>0.28565799999999997</v>
      </c>
      <c r="I42" s="193">
        <f>ROUND(SUM(I39:I41),2)</f>
        <v>814.25</v>
      </c>
      <c r="J42" s="3"/>
      <c r="K42" s="30"/>
      <c r="L42" s="30"/>
      <c r="M42" s="30"/>
      <c r="O42" s="30"/>
    </row>
    <row r="43" spans="1:15" ht="30" hidden="1" customHeight="1" x14ac:dyDescent="0.2">
      <c r="A43" s="448" t="s">
        <v>33</v>
      </c>
      <c r="B43" s="448"/>
      <c r="C43" s="448"/>
      <c r="D43" s="448"/>
      <c r="E43" s="448"/>
      <c r="F43" s="448"/>
      <c r="G43" s="448"/>
      <c r="H43" s="448"/>
      <c r="I43" s="448"/>
      <c r="J43" s="3"/>
      <c r="K43" s="30"/>
      <c r="L43" s="30"/>
      <c r="M43" s="30"/>
      <c r="O43" s="30"/>
    </row>
    <row r="44" spans="1:15" ht="30" hidden="1" customHeight="1" x14ac:dyDescent="0.2">
      <c r="A44" s="449" t="s">
        <v>34</v>
      </c>
      <c r="B44" s="449"/>
      <c r="C44" s="449"/>
      <c r="D44" s="449"/>
      <c r="E44" s="449"/>
      <c r="F44" s="449"/>
      <c r="G44" s="449"/>
      <c r="H44" s="449"/>
      <c r="I44" s="449"/>
      <c r="J44" s="3"/>
      <c r="K44" s="30"/>
      <c r="L44" s="30"/>
      <c r="M44" s="30"/>
      <c r="O44" s="30"/>
    </row>
    <row r="45" spans="1:15" ht="39.950000000000003" hidden="1" customHeight="1" x14ac:dyDescent="0.2">
      <c r="A45" s="449" t="s">
        <v>35</v>
      </c>
      <c r="B45" s="449"/>
      <c r="C45" s="449"/>
      <c r="D45" s="449"/>
      <c r="E45" s="449"/>
      <c r="F45" s="449"/>
      <c r="G45" s="449"/>
      <c r="H45" s="449"/>
      <c r="I45" s="449"/>
      <c r="J45" s="3"/>
      <c r="K45" s="30"/>
      <c r="L45" s="30"/>
      <c r="M45" s="30"/>
      <c r="O45" s="30"/>
    </row>
    <row r="46" spans="1:15" ht="39.950000000000003" hidden="1" customHeight="1" x14ac:dyDescent="0.2">
      <c r="A46" s="449" t="s">
        <v>36</v>
      </c>
      <c r="B46" s="449"/>
      <c r="C46" s="449"/>
      <c r="D46" s="449"/>
      <c r="E46" s="449"/>
      <c r="F46" s="449"/>
      <c r="G46" s="449"/>
      <c r="H46" s="449"/>
      <c r="I46" s="449"/>
      <c r="J46" s="3"/>
      <c r="K46" s="30"/>
      <c r="L46" s="30"/>
      <c r="M46" s="30"/>
      <c r="O46" s="30"/>
    </row>
    <row r="47" spans="1:15" x14ac:dyDescent="0.2">
      <c r="A47" s="457"/>
      <c r="B47" s="457"/>
      <c r="C47" s="457"/>
      <c r="D47" s="457"/>
      <c r="E47" s="457"/>
      <c r="F47" s="457"/>
      <c r="G47" s="457"/>
      <c r="H47" s="457"/>
      <c r="I47" s="457"/>
      <c r="J47" s="6"/>
      <c r="K47" s="7"/>
      <c r="L47" s="30"/>
      <c r="M47" s="30"/>
      <c r="O47" s="30"/>
    </row>
    <row r="48" spans="1:15" x14ac:dyDescent="0.2">
      <c r="A48" s="451" t="s">
        <v>37</v>
      </c>
      <c r="B48" s="451"/>
      <c r="C48" s="451"/>
      <c r="D48" s="451"/>
      <c r="E48" s="451"/>
      <c r="F48" s="451"/>
      <c r="G48" s="451"/>
      <c r="H48" s="62" t="s">
        <v>18</v>
      </c>
      <c r="I48" s="194" t="s">
        <v>19</v>
      </c>
      <c r="J48" s="3"/>
      <c r="K48" s="30"/>
      <c r="L48" s="30"/>
      <c r="M48" s="30"/>
      <c r="O48" s="30"/>
    </row>
    <row r="49" spans="1:15" x14ac:dyDescent="0.2">
      <c r="A49" s="61" t="s">
        <v>1</v>
      </c>
      <c r="B49" s="428" t="s">
        <v>38</v>
      </c>
      <c r="C49" s="428"/>
      <c r="D49" s="428"/>
      <c r="E49" s="428"/>
      <c r="F49" s="428"/>
      <c r="G49" s="428"/>
      <c r="H49" s="4">
        <v>0.2</v>
      </c>
      <c r="I49" s="192">
        <f>($I$35+I42)*H49</f>
        <v>732.9380000000001</v>
      </c>
      <c r="J49" s="3"/>
      <c r="K49" s="30"/>
      <c r="L49" s="30"/>
      <c r="M49" s="30"/>
      <c r="O49" s="30"/>
    </row>
    <row r="50" spans="1:15" x14ac:dyDescent="0.2">
      <c r="A50" s="61" t="s">
        <v>2</v>
      </c>
      <c r="B50" s="428" t="s">
        <v>39</v>
      </c>
      <c r="C50" s="428"/>
      <c r="D50" s="428"/>
      <c r="E50" s="428"/>
      <c r="F50" s="428"/>
      <c r="G50" s="428"/>
      <c r="H50" s="4">
        <v>2.5000000000000001E-2</v>
      </c>
      <c r="I50" s="192">
        <f>($I$35+I42)*H50</f>
        <v>91.617250000000013</v>
      </c>
      <c r="J50" s="3"/>
      <c r="K50" s="30"/>
      <c r="L50" s="30"/>
      <c r="M50" s="30"/>
      <c r="O50" s="30"/>
    </row>
    <row r="51" spans="1:15" x14ac:dyDescent="0.2">
      <c r="A51" s="458" t="s">
        <v>4</v>
      </c>
      <c r="B51" s="455" t="s">
        <v>40</v>
      </c>
      <c r="C51" s="455"/>
      <c r="D51" s="455"/>
      <c r="E51" s="455"/>
      <c r="F51" s="455"/>
      <c r="G51" s="455"/>
      <c r="H51" s="302">
        <v>0.03</v>
      </c>
      <c r="I51" s="456">
        <f>($I$35+I42)*H51*H52</f>
        <v>219.88139999999999</v>
      </c>
      <c r="J51" s="31">
        <f>H52*H51</f>
        <v>0.06</v>
      </c>
      <c r="K51" s="8"/>
      <c r="L51" s="30"/>
      <c r="M51" s="30"/>
      <c r="O51" s="30"/>
    </row>
    <row r="52" spans="1:15" x14ac:dyDescent="0.2">
      <c r="A52" s="459"/>
      <c r="B52" s="455"/>
      <c r="C52" s="455"/>
      <c r="D52" s="455"/>
      <c r="E52" s="455"/>
      <c r="F52" s="455"/>
      <c r="G52" s="455"/>
      <c r="H52" s="303">
        <v>2</v>
      </c>
      <c r="I52" s="456"/>
      <c r="J52" s="3"/>
      <c r="K52" s="8"/>
      <c r="L52" s="30"/>
      <c r="M52" s="30"/>
      <c r="O52" s="30"/>
    </row>
    <row r="53" spans="1:15" x14ac:dyDescent="0.2">
      <c r="A53" s="61" t="s">
        <v>6</v>
      </c>
      <c r="B53" s="428" t="s">
        <v>41</v>
      </c>
      <c r="C53" s="428"/>
      <c r="D53" s="428"/>
      <c r="E53" s="428"/>
      <c r="F53" s="428"/>
      <c r="G53" s="428"/>
      <c r="H53" s="4">
        <v>1.4999999999999999E-2</v>
      </c>
      <c r="I53" s="192">
        <f>($I$35+I42)*H53</f>
        <v>54.970349999999996</v>
      </c>
      <c r="J53" s="3"/>
      <c r="K53" s="30"/>
      <c r="L53" s="30"/>
      <c r="M53" s="30"/>
      <c r="O53" s="30"/>
    </row>
    <row r="54" spans="1:15" x14ac:dyDescent="0.2">
      <c r="A54" s="61" t="s">
        <v>23</v>
      </c>
      <c r="B54" s="428" t="s">
        <v>42</v>
      </c>
      <c r="C54" s="428"/>
      <c r="D54" s="428"/>
      <c r="E54" s="428"/>
      <c r="F54" s="428"/>
      <c r="G54" s="428"/>
      <c r="H54" s="4">
        <v>0.01</v>
      </c>
      <c r="I54" s="192">
        <f>($I$35+I42)*H54</f>
        <v>36.646900000000002</v>
      </c>
      <c r="J54" s="3"/>
      <c r="K54" s="30"/>
      <c r="L54" s="30"/>
      <c r="M54" s="30"/>
      <c r="O54" s="30"/>
    </row>
    <row r="55" spans="1:15" x14ac:dyDescent="0.2">
      <c r="A55" s="61" t="s">
        <v>25</v>
      </c>
      <c r="B55" s="428" t="s">
        <v>43</v>
      </c>
      <c r="C55" s="428"/>
      <c r="D55" s="428"/>
      <c r="E55" s="428"/>
      <c r="F55" s="428"/>
      <c r="G55" s="428"/>
      <c r="H55" s="4">
        <v>6.0000000000000001E-3</v>
      </c>
      <c r="I55" s="192">
        <f>($I$35+I42)*H55</f>
        <v>21.988140000000001</v>
      </c>
      <c r="J55" s="3"/>
      <c r="K55" s="30"/>
      <c r="L55" s="30"/>
      <c r="M55" s="30"/>
      <c r="O55" s="30"/>
    </row>
    <row r="56" spans="1:15" x14ac:dyDescent="0.2">
      <c r="A56" s="61" t="s">
        <v>44</v>
      </c>
      <c r="B56" s="428" t="s">
        <v>45</v>
      </c>
      <c r="C56" s="428"/>
      <c r="D56" s="428"/>
      <c r="E56" s="428"/>
      <c r="F56" s="428"/>
      <c r="G56" s="428"/>
      <c r="H56" s="4">
        <v>2E-3</v>
      </c>
      <c r="I56" s="192">
        <f>($I$35+I42)*H56</f>
        <v>7.3293800000000005</v>
      </c>
      <c r="J56" s="3"/>
      <c r="K56" s="30"/>
      <c r="L56" s="30"/>
      <c r="M56" s="30"/>
      <c r="O56" s="30"/>
    </row>
    <row r="57" spans="1:15" x14ac:dyDescent="0.2">
      <c r="A57" s="61" t="s">
        <v>46</v>
      </c>
      <c r="B57" s="428" t="s">
        <v>47</v>
      </c>
      <c r="C57" s="428"/>
      <c r="D57" s="428"/>
      <c r="E57" s="428"/>
      <c r="F57" s="428"/>
      <c r="G57" s="428"/>
      <c r="H57" s="4">
        <v>0.08</v>
      </c>
      <c r="I57" s="192">
        <f>($I$35+I42)*H57</f>
        <v>293.17520000000002</v>
      </c>
      <c r="J57" s="3"/>
      <c r="K57" s="30"/>
      <c r="L57" s="30"/>
      <c r="M57" s="30"/>
      <c r="O57" s="30"/>
    </row>
    <row r="58" spans="1:15" x14ac:dyDescent="0.2">
      <c r="A58" s="427" t="s">
        <v>48</v>
      </c>
      <c r="B58" s="427"/>
      <c r="C58" s="427"/>
      <c r="D58" s="427"/>
      <c r="E58" s="427"/>
      <c r="F58" s="427"/>
      <c r="G58" s="427"/>
      <c r="H58" s="5">
        <f>SUM(H49:H50,H53:H57)+J51</f>
        <v>0.39800000000000002</v>
      </c>
      <c r="I58" s="191">
        <f>SUM(I49:I57)</f>
        <v>1458.5466200000001</v>
      </c>
      <c r="J58" s="3"/>
      <c r="K58" s="30"/>
      <c r="L58" s="30"/>
      <c r="M58" s="30"/>
      <c r="O58" s="30"/>
    </row>
    <row r="59" spans="1:15" x14ac:dyDescent="0.2">
      <c r="A59" s="450"/>
      <c r="B59" s="450"/>
      <c r="C59" s="450"/>
      <c r="D59" s="450"/>
      <c r="E59" s="450"/>
      <c r="F59" s="450"/>
      <c r="G59" s="450"/>
      <c r="H59" s="450"/>
      <c r="I59" s="450"/>
      <c r="J59" s="3"/>
      <c r="K59" s="30"/>
      <c r="L59" s="30"/>
      <c r="M59" s="30"/>
      <c r="O59" s="30"/>
    </row>
    <row r="60" spans="1:15" x14ac:dyDescent="0.2">
      <c r="A60" s="451" t="s">
        <v>49</v>
      </c>
      <c r="B60" s="451"/>
      <c r="C60" s="451"/>
      <c r="D60" s="451"/>
      <c r="E60" s="451"/>
      <c r="F60" s="451"/>
      <c r="G60" s="451"/>
      <c r="H60" s="9" t="s">
        <v>50</v>
      </c>
      <c r="I60" s="194" t="s">
        <v>19</v>
      </c>
      <c r="J60" s="3"/>
      <c r="K60" s="30"/>
      <c r="L60" s="30"/>
      <c r="M60" s="30"/>
      <c r="O60" s="30"/>
    </row>
    <row r="61" spans="1:15" x14ac:dyDescent="0.2">
      <c r="A61" s="61" t="s">
        <v>1</v>
      </c>
      <c r="B61" s="435" t="s">
        <v>51</v>
      </c>
      <c r="C61" s="435"/>
      <c r="D61" s="435"/>
      <c r="E61" s="435"/>
      <c r="F61" s="435"/>
      <c r="G61" s="435"/>
      <c r="H61" s="10">
        <v>5.5</v>
      </c>
      <c r="I61" s="190">
        <f>' V.A_VT'!G15</f>
        <v>33.441000000000003</v>
      </c>
      <c r="J61" s="3"/>
      <c r="K61" s="30"/>
      <c r="L61" s="30"/>
      <c r="M61" s="30"/>
      <c r="O61" s="30"/>
    </row>
    <row r="62" spans="1:15" x14ac:dyDescent="0.2">
      <c r="A62" s="61" t="s">
        <v>2</v>
      </c>
      <c r="B62" s="435" t="s">
        <v>52</v>
      </c>
      <c r="C62" s="435"/>
      <c r="D62" s="435"/>
      <c r="E62" s="435"/>
      <c r="F62" s="435"/>
      <c r="G62" s="435"/>
      <c r="H62" s="10">
        <v>35.770000000000003</v>
      </c>
      <c r="I62" s="296">
        <f>' V.A_VT'!G24</f>
        <v>551.25</v>
      </c>
      <c r="J62" s="288"/>
      <c r="K62" s="30"/>
      <c r="L62" s="30"/>
      <c r="M62" s="30"/>
      <c r="O62" s="30"/>
    </row>
    <row r="63" spans="1:15" x14ac:dyDescent="0.2">
      <c r="A63" s="121" t="s">
        <v>4</v>
      </c>
      <c r="B63" s="452" t="s">
        <v>314</v>
      </c>
      <c r="C63" s="453"/>
      <c r="D63" s="453"/>
      <c r="E63" s="453"/>
      <c r="F63" s="453"/>
      <c r="G63" s="454"/>
      <c r="H63" s="283"/>
      <c r="I63" s="285"/>
      <c r="J63" s="3"/>
      <c r="K63" s="30"/>
      <c r="L63" s="30"/>
      <c r="M63" s="30"/>
      <c r="O63" s="30"/>
    </row>
    <row r="64" spans="1:15" x14ac:dyDescent="0.2">
      <c r="A64" s="61" t="s">
        <v>6</v>
      </c>
      <c r="B64" s="435" t="s">
        <v>211</v>
      </c>
      <c r="C64" s="435"/>
      <c r="D64" s="435"/>
      <c r="E64" s="435"/>
      <c r="F64" s="435"/>
      <c r="G64" s="435"/>
      <c r="H64" s="283"/>
      <c r="I64" s="284"/>
      <c r="J64" s="3"/>
      <c r="K64" s="30"/>
      <c r="L64" s="30"/>
      <c r="M64" s="30"/>
      <c r="O64" s="30"/>
    </row>
    <row r="65" spans="1:18" x14ac:dyDescent="0.2">
      <c r="A65" s="61" t="s">
        <v>23</v>
      </c>
      <c r="B65" s="428" t="s">
        <v>311</v>
      </c>
      <c r="C65" s="428"/>
      <c r="D65" s="428"/>
      <c r="E65" s="428"/>
      <c r="F65" s="428"/>
      <c r="G65" s="428"/>
      <c r="H65" s="10">
        <v>10.53</v>
      </c>
      <c r="I65" s="296">
        <v>10.53</v>
      </c>
      <c r="J65" s="3"/>
      <c r="K65" s="30"/>
      <c r="L65" s="30"/>
      <c r="M65" s="30"/>
      <c r="O65" s="30"/>
    </row>
    <row r="66" spans="1:18" x14ac:dyDescent="0.2">
      <c r="A66" s="61" t="s">
        <v>25</v>
      </c>
      <c r="B66" s="435" t="s">
        <v>26</v>
      </c>
      <c r="C66" s="435"/>
      <c r="D66" s="435"/>
      <c r="E66" s="435"/>
      <c r="F66" s="435"/>
      <c r="G66" s="435"/>
      <c r="H66" s="10"/>
      <c r="I66" s="190"/>
      <c r="J66" s="3"/>
      <c r="K66" s="30"/>
      <c r="L66" s="30"/>
      <c r="M66" s="30"/>
      <c r="O66" s="30"/>
    </row>
    <row r="67" spans="1:18" x14ac:dyDescent="0.2">
      <c r="A67" s="427" t="s">
        <v>54</v>
      </c>
      <c r="B67" s="427"/>
      <c r="C67" s="427"/>
      <c r="D67" s="427"/>
      <c r="E67" s="427"/>
      <c r="F67" s="427"/>
      <c r="G67" s="427"/>
      <c r="H67" s="427"/>
      <c r="I67" s="193">
        <f>SUM(I61:I66)</f>
        <v>595.221</v>
      </c>
      <c r="J67" s="3"/>
      <c r="K67" s="30"/>
      <c r="L67" s="30"/>
      <c r="M67" s="30"/>
      <c r="O67" s="30"/>
    </row>
    <row r="68" spans="1:18" ht="30" hidden="1" customHeight="1" x14ac:dyDescent="0.2">
      <c r="A68" s="448" t="s">
        <v>55</v>
      </c>
      <c r="B68" s="448"/>
      <c r="C68" s="448"/>
      <c r="D68" s="448"/>
      <c r="E68" s="448"/>
      <c r="F68" s="448"/>
      <c r="G68" s="448"/>
      <c r="H68" s="448"/>
      <c r="I68" s="448"/>
      <c r="J68" s="3"/>
      <c r="K68" s="30"/>
      <c r="L68" s="30"/>
      <c r="M68" s="30"/>
      <c r="O68" s="30"/>
    </row>
    <row r="69" spans="1:18" ht="30" hidden="1" customHeight="1" x14ac:dyDescent="0.2">
      <c r="A69" s="449" t="s">
        <v>56</v>
      </c>
      <c r="B69" s="449"/>
      <c r="C69" s="449"/>
      <c r="D69" s="449"/>
      <c r="E69" s="449"/>
      <c r="F69" s="449"/>
      <c r="G69" s="449"/>
      <c r="H69" s="449"/>
      <c r="I69" s="449"/>
      <c r="J69" s="443" t="s">
        <v>128</v>
      </c>
      <c r="K69" s="444"/>
      <c r="L69" s="444"/>
      <c r="M69" s="444"/>
      <c r="N69" s="444"/>
      <c r="O69" s="444"/>
      <c r="P69" s="444"/>
      <c r="Q69" s="444"/>
      <c r="R69" s="444"/>
    </row>
    <row r="70" spans="1:18" ht="30" hidden="1" customHeight="1" x14ac:dyDescent="0.2">
      <c r="A70" s="445" t="s">
        <v>57</v>
      </c>
      <c r="B70" s="445"/>
      <c r="C70" s="445"/>
      <c r="D70" s="445"/>
      <c r="E70" s="445"/>
      <c r="F70" s="445"/>
      <c r="G70" s="445"/>
      <c r="H70" s="445"/>
      <c r="I70" s="445"/>
      <c r="J70" s="3"/>
      <c r="K70" s="30"/>
      <c r="L70" s="30"/>
      <c r="M70" s="30"/>
      <c r="O70" s="30"/>
    </row>
    <row r="71" spans="1:18" ht="18.75" hidden="1" customHeight="1" x14ac:dyDescent="0.2">
      <c r="A71" s="446" t="s">
        <v>58</v>
      </c>
      <c r="B71" s="446"/>
      <c r="C71" s="446"/>
      <c r="D71" s="446"/>
      <c r="E71" s="446"/>
      <c r="F71" s="446"/>
      <c r="G71" s="446"/>
      <c r="H71" s="446"/>
      <c r="I71" s="446"/>
      <c r="J71" s="3"/>
      <c r="K71" s="30"/>
      <c r="L71" s="30"/>
      <c r="M71" s="30"/>
      <c r="O71" s="30"/>
    </row>
    <row r="72" spans="1:18" x14ac:dyDescent="0.2">
      <c r="A72" s="447"/>
      <c r="B72" s="447"/>
      <c r="C72" s="447"/>
      <c r="D72" s="447"/>
      <c r="E72" s="447"/>
      <c r="F72" s="447"/>
      <c r="G72" s="447"/>
      <c r="H72" s="447"/>
      <c r="I72" s="447"/>
      <c r="J72" s="3"/>
      <c r="K72" s="30"/>
      <c r="L72" s="30"/>
      <c r="M72" s="30"/>
      <c r="O72" s="30"/>
    </row>
    <row r="73" spans="1:18" x14ac:dyDescent="0.2">
      <c r="A73" s="431" t="s">
        <v>59</v>
      </c>
      <c r="B73" s="431"/>
      <c r="C73" s="431"/>
      <c r="D73" s="431"/>
      <c r="E73" s="431"/>
      <c r="F73" s="431"/>
      <c r="G73" s="431"/>
      <c r="H73" s="431"/>
      <c r="I73" s="431"/>
      <c r="J73" s="3"/>
      <c r="K73" s="30"/>
      <c r="L73" s="30"/>
      <c r="M73" s="30"/>
      <c r="O73" s="30"/>
    </row>
    <row r="74" spans="1:18" x14ac:dyDescent="0.2">
      <c r="A74" s="427" t="s">
        <v>60</v>
      </c>
      <c r="B74" s="427"/>
      <c r="C74" s="427"/>
      <c r="D74" s="427"/>
      <c r="E74" s="427"/>
      <c r="F74" s="427"/>
      <c r="G74" s="427"/>
      <c r="H74" s="427"/>
      <c r="I74" s="189" t="s">
        <v>19</v>
      </c>
      <c r="J74" s="3"/>
      <c r="K74" s="30"/>
      <c r="L74" s="57">
        <f>SUM(I75+I76+I87+I97)/I35</f>
        <v>0.88223453922903128</v>
      </c>
      <c r="M74" s="30"/>
      <c r="O74" s="30"/>
    </row>
    <row r="75" spans="1:18" x14ac:dyDescent="0.2">
      <c r="A75" s="61" t="s">
        <v>61</v>
      </c>
      <c r="B75" s="428" t="s">
        <v>62</v>
      </c>
      <c r="C75" s="428"/>
      <c r="D75" s="428"/>
      <c r="E75" s="428"/>
      <c r="F75" s="428"/>
      <c r="G75" s="428"/>
      <c r="H75" s="428"/>
      <c r="I75" s="190">
        <f>I42</f>
        <v>814.25</v>
      </c>
      <c r="J75" s="3"/>
      <c r="K75" s="30"/>
      <c r="L75" s="30"/>
      <c r="M75" s="30"/>
      <c r="O75" s="30"/>
    </row>
    <row r="76" spans="1:18" x14ac:dyDescent="0.2">
      <c r="A76" s="61" t="s">
        <v>63</v>
      </c>
      <c r="B76" s="428" t="s">
        <v>64</v>
      </c>
      <c r="C76" s="428"/>
      <c r="D76" s="428"/>
      <c r="E76" s="428"/>
      <c r="F76" s="428"/>
      <c r="G76" s="428"/>
      <c r="H76" s="428"/>
      <c r="I76" s="190">
        <f>I58</f>
        <v>1458.5466200000001</v>
      </c>
      <c r="J76" s="3"/>
      <c r="K76" s="30"/>
      <c r="L76" s="30"/>
      <c r="M76" s="30"/>
      <c r="O76" s="30"/>
    </row>
    <row r="77" spans="1:18" x14ac:dyDescent="0.2">
      <c r="A77" s="61" t="s">
        <v>65</v>
      </c>
      <c r="B77" s="428" t="s">
        <v>66</v>
      </c>
      <c r="C77" s="428"/>
      <c r="D77" s="428"/>
      <c r="E77" s="428"/>
      <c r="F77" s="428"/>
      <c r="G77" s="428"/>
      <c r="H77" s="428"/>
      <c r="I77" s="190">
        <f>I67</f>
        <v>595.221</v>
      </c>
      <c r="J77" s="3"/>
      <c r="K77" s="30"/>
      <c r="L77" s="30"/>
      <c r="M77" s="30"/>
      <c r="O77" s="30"/>
    </row>
    <row r="78" spans="1:18" x14ac:dyDescent="0.2">
      <c r="A78" s="427" t="s">
        <v>67</v>
      </c>
      <c r="B78" s="427"/>
      <c r="C78" s="427"/>
      <c r="D78" s="427"/>
      <c r="E78" s="427"/>
      <c r="F78" s="427"/>
      <c r="G78" s="427"/>
      <c r="H78" s="427"/>
      <c r="I78" s="191">
        <f>TRUNC(SUM(I75:I77),2)</f>
        <v>2868.01</v>
      </c>
      <c r="J78" s="3"/>
      <c r="K78" s="30"/>
      <c r="L78" s="30"/>
      <c r="M78" s="30"/>
      <c r="O78" s="30"/>
    </row>
    <row r="79" spans="1:18" x14ac:dyDescent="0.2">
      <c r="A79" s="11"/>
      <c r="B79" s="11"/>
      <c r="C79" s="11"/>
      <c r="D79" s="11"/>
      <c r="E79" s="11"/>
      <c r="F79" s="11"/>
      <c r="G79" s="11"/>
      <c r="H79" s="11"/>
      <c r="I79" s="195"/>
      <c r="J79" s="3"/>
      <c r="K79" s="30"/>
      <c r="L79" s="30"/>
      <c r="M79" s="30"/>
      <c r="O79" s="30"/>
    </row>
    <row r="80" spans="1:18" x14ac:dyDescent="0.2">
      <c r="A80" s="431" t="s">
        <v>68</v>
      </c>
      <c r="B80" s="431"/>
      <c r="C80" s="431"/>
      <c r="D80" s="431"/>
      <c r="E80" s="431"/>
      <c r="F80" s="431"/>
      <c r="G80" s="431"/>
      <c r="H80" s="431"/>
      <c r="I80" s="431"/>
      <c r="J80" s="3"/>
      <c r="K80" s="30"/>
      <c r="L80" s="30"/>
      <c r="M80" s="30"/>
      <c r="O80" s="30"/>
    </row>
    <row r="81" spans="1:15" x14ac:dyDescent="0.2">
      <c r="A81" s="61">
        <v>3</v>
      </c>
      <c r="B81" s="427" t="s">
        <v>69</v>
      </c>
      <c r="C81" s="427"/>
      <c r="D81" s="427"/>
      <c r="E81" s="427"/>
      <c r="F81" s="427"/>
      <c r="G81" s="427"/>
      <c r="H81" s="61" t="s">
        <v>18</v>
      </c>
      <c r="I81" s="189" t="s">
        <v>19</v>
      </c>
      <c r="J81" s="3"/>
      <c r="K81" s="30"/>
      <c r="L81" s="30"/>
      <c r="M81" s="30"/>
      <c r="O81" s="30"/>
    </row>
    <row r="82" spans="1:15" x14ac:dyDescent="0.2">
      <c r="A82" s="61" t="s">
        <v>1</v>
      </c>
      <c r="B82" s="428" t="s">
        <v>70</v>
      </c>
      <c r="C82" s="428"/>
      <c r="D82" s="428"/>
      <c r="E82" s="428"/>
      <c r="F82" s="428"/>
      <c r="G82" s="428"/>
      <c r="H82" s="4">
        <v>4.5999999999999999E-3</v>
      </c>
      <c r="I82" s="190">
        <f t="shared" ref="I82:I86" si="0">$I$35*H82</f>
        <v>13.112024</v>
      </c>
      <c r="J82" s="3"/>
      <c r="K82" s="30"/>
      <c r="L82" s="30"/>
      <c r="M82" s="30"/>
      <c r="O82" s="30"/>
    </row>
    <row r="83" spans="1:15" x14ac:dyDescent="0.2">
      <c r="A83" s="61" t="s">
        <v>2</v>
      </c>
      <c r="B83" s="428" t="s">
        <v>71</v>
      </c>
      <c r="C83" s="428"/>
      <c r="D83" s="428"/>
      <c r="E83" s="428"/>
      <c r="F83" s="428"/>
      <c r="G83" s="428"/>
      <c r="H83" s="4">
        <f>H82*0.08</f>
        <v>3.68E-4</v>
      </c>
      <c r="I83" s="190">
        <f t="shared" si="0"/>
        <v>1.04896192</v>
      </c>
      <c r="J83" s="3"/>
      <c r="K83" s="30"/>
      <c r="L83" s="30"/>
      <c r="M83" s="30"/>
      <c r="O83" s="30"/>
    </row>
    <row r="84" spans="1:15" x14ac:dyDescent="0.2">
      <c r="A84" s="61" t="s">
        <v>4</v>
      </c>
      <c r="B84" s="428" t="s">
        <v>72</v>
      </c>
      <c r="C84" s="428"/>
      <c r="D84" s="428"/>
      <c r="E84" s="428"/>
      <c r="F84" s="428"/>
      <c r="G84" s="428"/>
      <c r="H84" s="4">
        <v>1.9400000000000001E-2</v>
      </c>
      <c r="I84" s="190">
        <f t="shared" si="0"/>
        <v>55.298536000000006</v>
      </c>
      <c r="L84" s="57"/>
    </row>
    <row r="85" spans="1:15" x14ac:dyDescent="0.2">
      <c r="A85" s="61" t="s">
        <v>6</v>
      </c>
      <c r="B85" s="428" t="s">
        <v>73</v>
      </c>
      <c r="C85" s="428"/>
      <c r="D85" s="428"/>
      <c r="E85" s="428"/>
      <c r="F85" s="428"/>
      <c r="G85" s="428"/>
      <c r="H85" s="13">
        <f>H84*H58</f>
        <v>7.721200000000001E-3</v>
      </c>
      <c r="I85" s="190">
        <f t="shared" si="0"/>
        <v>22.008817328000003</v>
      </c>
      <c r="J85" s="3"/>
      <c r="K85" s="14"/>
    </row>
    <row r="86" spans="1:15" ht="41.25" customHeight="1" x14ac:dyDescent="0.2">
      <c r="A86" s="413" t="s">
        <v>23</v>
      </c>
      <c r="B86" s="442" t="s">
        <v>475</v>
      </c>
      <c r="C86" s="442"/>
      <c r="D86" s="442"/>
      <c r="E86" s="442"/>
      <c r="F86" s="442"/>
      <c r="G86" s="442"/>
      <c r="H86" s="414">
        <v>0.04</v>
      </c>
      <c r="I86" s="415">
        <f t="shared" si="0"/>
        <v>114.0176</v>
      </c>
      <c r="J86" s="3"/>
      <c r="K86" s="30"/>
    </row>
    <row r="87" spans="1:15" x14ac:dyDescent="0.2">
      <c r="A87" s="427" t="s">
        <v>74</v>
      </c>
      <c r="B87" s="427"/>
      <c r="C87" s="427"/>
      <c r="D87" s="427"/>
      <c r="E87" s="427"/>
      <c r="F87" s="427"/>
      <c r="G87" s="427"/>
      <c r="H87" s="5">
        <f>TRUNC(SUM(H82:H86),4)</f>
        <v>7.1999999999999995E-2</v>
      </c>
      <c r="I87" s="191">
        <f>TRUNC(SUM(I82:I86),2)</f>
        <v>205.48</v>
      </c>
      <c r="J87" s="3"/>
      <c r="K87" s="30"/>
    </row>
    <row r="88" spans="1:15" x14ac:dyDescent="0.2">
      <c r="A88" s="441"/>
      <c r="B88" s="441"/>
      <c r="C88" s="441"/>
      <c r="D88" s="441"/>
      <c r="E88" s="441"/>
      <c r="F88" s="441"/>
      <c r="G88" s="441"/>
      <c r="H88" s="441"/>
      <c r="I88" s="441"/>
      <c r="J88" s="3"/>
      <c r="K88" s="30"/>
    </row>
    <row r="89" spans="1:15" x14ac:dyDescent="0.2">
      <c r="A89" s="431" t="s">
        <v>75</v>
      </c>
      <c r="B89" s="431"/>
      <c r="C89" s="431"/>
      <c r="D89" s="431"/>
      <c r="E89" s="431"/>
      <c r="F89" s="431"/>
      <c r="G89" s="431"/>
      <c r="H89" s="431"/>
      <c r="I89" s="431"/>
      <c r="J89" s="3"/>
      <c r="K89" s="30"/>
    </row>
    <row r="90" spans="1:15" x14ac:dyDescent="0.2">
      <c r="A90" s="437" t="s">
        <v>76</v>
      </c>
      <c r="B90" s="437"/>
      <c r="C90" s="437"/>
      <c r="D90" s="437"/>
      <c r="E90" s="437"/>
      <c r="F90" s="437"/>
      <c r="G90" s="437"/>
      <c r="H90" s="64" t="s">
        <v>18</v>
      </c>
      <c r="I90" s="196" t="s">
        <v>19</v>
      </c>
      <c r="J90" s="3"/>
      <c r="K90" s="30"/>
    </row>
    <row r="91" spans="1:15" x14ac:dyDescent="0.2">
      <c r="A91" s="61" t="s">
        <v>1</v>
      </c>
      <c r="B91" s="428" t="s">
        <v>340</v>
      </c>
      <c r="C91" s="428"/>
      <c r="D91" s="428"/>
      <c r="E91" s="428"/>
      <c r="F91" s="428"/>
      <c r="G91" s="428"/>
      <c r="H91" s="277">
        <v>9.2999999999999992E-3</v>
      </c>
      <c r="I91" s="190">
        <f>$I$35*H91</f>
        <v>26.509091999999999</v>
      </c>
      <c r="J91" s="3"/>
      <c r="K91" s="30"/>
    </row>
    <row r="92" spans="1:15" x14ac:dyDescent="0.2">
      <c r="A92" s="61" t="s">
        <v>2</v>
      </c>
      <c r="B92" s="428" t="s">
        <v>341</v>
      </c>
      <c r="C92" s="428"/>
      <c r="D92" s="428"/>
      <c r="E92" s="428"/>
      <c r="F92" s="428"/>
      <c r="G92" s="428"/>
      <c r="H92" s="4">
        <v>2.8E-3</v>
      </c>
      <c r="I92" s="190">
        <f>$I$35*H92</f>
        <v>7.9812320000000003</v>
      </c>
      <c r="J92" s="15"/>
      <c r="K92" s="30"/>
    </row>
    <row r="93" spans="1:15" x14ac:dyDescent="0.2">
      <c r="A93" s="61" t="s">
        <v>4</v>
      </c>
      <c r="B93" s="428" t="s">
        <v>342</v>
      </c>
      <c r="C93" s="428"/>
      <c r="D93" s="428"/>
      <c r="E93" s="428"/>
      <c r="F93" s="428"/>
      <c r="G93" s="428"/>
      <c r="H93" s="4">
        <v>2.0000000000000001E-4</v>
      </c>
      <c r="I93" s="190">
        <f>$I$35*H93</f>
        <v>0.57008800000000004</v>
      </c>
      <c r="J93" s="15"/>
      <c r="K93" s="16"/>
    </row>
    <row r="94" spans="1:15" ht="12.75" customHeight="1" x14ac:dyDescent="0.2">
      <c r="A94" s="61" t="s">
        <v>6</v>
      </c>
      <c r="B94" s="428" t="s">
        <v>343</v>
      </c>
      <c r="C94" s="428"/>
      <c r="D94" s="428"/>
      <c r="E94" s="428"/>
      <c r="F94" s="428"/>
      <c r="G94" s="428"/>
      <c r="H94" s="4">
        <v>2.9999999999999997E-4</v>
      </c>
      <c r="I94" s="190">
        <f t="shared" ref="I94:I96" si="1">$I$35*H94</f>
        <v>0.85513199999999989</v>
      </c>
      <c r="J94" s="15"/>
      <c r="K94" s="16"/>
    </row>
    <row r="95" spans="1:15" x14ac:dyDescent="0.2">
      <c r="A95" s="61" t="s">
        <v>23</v>
      </c>
      <c r="B95" s="428" t="s">
        <v>344</v>
      </c>
      <c r="C95" s="428"/>
      <c r="D95" s="428"/>
      <c r="E95" s="428"/>
      <c r="F95" s="428"/>
      <c r="G95" s="428"/>
      <c r="H95" s="4">
        <v>2.0000000000000001E-4</v>
      </c>
      <c r="I95" s="190">
        <f t="shared" si="1"/>
        <v>0.57008800000000004</v>
      </c>
      <c r="J95" s="30"/>
      <c r="K95" s="17"/>
    </row>
    <row r="96" spans="1:15" x14ac:dyDescent="0.2">
      <c r="A96" s="61" t="s">
        <v>25</v>
      </c>
      <c r="B96" s="428" t="s">
        <v>77</v>
      </c>
      <c r="C96" s="428"/>
      <c r="D96" s="428"/>
      <c r="E96" s="428"/>
      <c r="F96" s="428"/>
      <c r="G96" s="428"/>
      <c r="H96" s="4">
        <v>0</v>
      </c>
      <c r="I96" s="190">
        <f t="shared" si="1"/>
        <v>0</v>
      </c>
      <c r="J96" s="18"/>
      <c r="K96" s="30"/>
    </row>
    <row r="97" spans="1:14" x14ac:dyDescent="0.2">
      <c r="A97" s="427" t="s">
        <v>78</v>
      </c>
      <c r="B97" s="427"/>
      <c r="C97" s="427"/>
      <c r="D97" s="427"/>
      <c r="E97" s="427"/>
      <c r="F97" s="427"/>
      <c r="G97" s="427"/>
      <c r="H97" s="5">
        <f>TRUNC(SUM(H91:H96),4)</f>
        <v>1.2800000000000001E-2</v>
      </c>
      <c r="I97" s="191">
        <f>TRUNC(SUM(I91:I96),2)</f>
        <v>36.479999999999997</v>
      </c>
      <c r="J97" s="3"/>
      <c r="K97" s="30"/>
    </row>
    <row r="98" spans="1:14" x14ac:dyDescent="0.2">
      <c r="A98" s="440"/>
      <c r="B98" s="440"/>
      <c r="C98" s="440"/>
      <c r="D98" s="440"/>
      <c r="E98" s="440"/>
      <c r="F98" s="440"/>
      <c r="G98" s="440"/>
      <c r="H98" s="440"/>
      <c r="I98" s="440"/>
      <c r="J98" s="3"/>
      <c r="K98" s="30"/>
    </row>
    <row r="99" spans="1:14" x14ac:dyDescent="0.2">
      <c r="A99" s="437" t="s">
        <v>79</v>
      </c>
      <c r="B99" s="437"/>
      <c r="C99" s="437"/>
      <c r="D99" s="437"/>
      <c r="E99" s="437"/>
      <c r="F99" s="437"/>
      <c r="G99" s="437"/>
      <c r="H99" s="64" t="s">
        <v>18</v>
      </c>
      <c r="I99" s="196" t="s">
        <v>19</v>
      </c>
      <c r="J99" s="3"/>
      <c r="K99" s="30"/>
    </row>
    <row r="100" spans="1:14" x14ac:dyDescent="0.2">
      <c r="A100" s="368" t="s">
        <v>1</v>
      </c>
      <c r="B100" s="438" t="s">
        <v>80</v>
      </c>
      <c r="C100" s="438"/>
      <c r="D100" s="438"/>
      <c r="E100" s="438"/>
      <c r="F100" s="438"/>
      <c r="G100" s="438"/>
      <c r="H100" s="277">
        <v>0</v>
      </c>
      <c r="I100" s="370">
        <v>18.829999999999998</v>
      </c>
      <c r="J100" s="3"/>
      <c r="K100" s="30"/>
    </row>
    <row r="101" spans="1:14" x14ac:dyDescent="0.2">
      <c r="A101" s="427" t="s">
        <v>81</v>
      </c>
      <c r="B101" s="427"/>
      <c r="C101" s="427"/>
      <c r="D101" s="427"/>
      <c r="E101" s="427"/>
      <c r="F101" s="427"/>
      <c r="G101" s="427"/>
      <c r="H101" s="5">
        <f>TRUNC(SUM(H100),4)</f>
        <v>0</v>
      </c>
      <c r="I101" s="191">
        <f>TRUNC(SUM(I100),2)</f>
        <v>18.829999999999998</v>
      </c>
      <c r="J101" s="3"/>
      <c r="K101" s="30"/>
    </row>
    <row r="102" spans="1:14" x14ac:dyDescent="0.2">
      <c r="A102" s="439"/>
      <c r="B102" s="439"/>
      <c r="C102" s="439"/>
      <c r="D102" s="439"/>
      <c r="E102" s="439"/>
      <c r="F102" s="439"/>
      <c r="G102" s="439"/>
      <c r="H102" s="439"/>
      <c r="I102" s="439"/>
      <c r="J102" s="3"/>
      <c r="K102" s="30"/>
    </row>
    <row r="103" spans="1:14" x14ac:dyDescent="0.2">
      <c r="A103" s="431" t="s">
        <v>82</v>
      </c>
      <c r="B103" s="431"/>
      <c r="C103" s="431"/>
      <c r="D103" s="431"/>
      <c r="E103" s="431"/>
      <c r="F103" s="431"/>
      <c r="G103" s="431"/>
      <c r="H103" s="431"/>
      <c r="I103" s="431"/>
      <c r="J103" s="3"/>
      <c r="K103" s="30"/>
    </row>
    <row r="104" spans="1:14" x14ac:dyDescent="0.2">
      <c r="A104" s="427" t="s">
        <v>83</v>
      </c>
      <c r="B104" s="427"/>
      <c r="C104" s="427"/>
      <c r="D104" s="427"/>
      <c r="E104" s="427"/>
      <c r="F104" s="427"/>
      <c r="G104" s="427"/>
      <c r="H104" s="427"/>
      <c r="I104" s="189" t="s">
        <v>19</v>
      </c>
      <c r="J104" s="3"/>
      <c r="K104" s="30"/>
    </row>
    <row r="105" spans="1:14" x14ac:dyDescent="0.2">
      <c r="A105" s="61" t="s">
        <v>84</v>
      </c>
      <c r="B105" s="428" t="s">
        <v>345</v>
      </c>
      <c r="C105" s="428"/>
      <c r="D105" s="428"/>
      <c r="E105" s="428"/>
      <c r="F105" s="428"/>
      <c r="G105" s="428"/>
      <c r="H105" s="428"/>
      <c r="I105" s="190">
        <f>I97</f>
        <v>36.479999999999997</v>
      </c>
      <c r="J105" s="3"/>
      <c r="K105" s="30"/>
    </row>
    <row r="106" spans="1:14" x14ac:dyDescent="0.2">
      <c r="A106" s="61" t="s">
        <v>86</v>
      </c>
      <c r="B106" s="428" t="s">
        <v>346</v>
      </c>
      <c r="C106" s="428"/>
      <c r="D106" s="428"/>
      <c r="E106" s="428"/>
      <c r="F106" s="428"/>
      <c r="G106" s="428"/>
      <c r="H106" s="428"/>
      <c r="I106" s="190">
        <f>I101</f>
        <v>18.829999999999998</v>
      </c>
      <c r="J106" s="3"/>
      <c r="K106" s="30"/>
      <c r="M106" s="40"/>
      <c r="N106" s="56">
        <f>M106/2</f>
        <v>0</v>
      </c>
    </row>
    <row r="107" spans="1:14" x14ac:dyDescent="0.2">
      <c r="A107" s="427" t="s">
        <v>88</v>
      </c>
      <c r="B107" s="427"/>
      <c r="C107" s="427"/>
      <c r="D107" s="427"/>
      <c r="E107" s="427"/>
      <c r="F107" s="427"/>
      <c r="G107" s="427"/>
      <c r="H107" s="427"/>
      <c r="I107" s="191">
        <f>TRUNC(SUM(I105:I106),2)</f>
        <v>55.31</v>
      </c>
      <c r="J107" s="3"/>
      <c r="K107" s="30"/>
    </row>
    <row r="108" spans="1:14" x14ac:dyDescent="0.2">
      <c r="A108" s="436"/>
      <c r="B108" s="436"/>
      <c r="C108" s="436"/>
      <c r="D108" s="436"/>
      <c r="E108" s="436"/>
      <c r="F108" s="436"/>
      <c r="G108" s="436"/>
      <c r="H108" s="436"/>
      <c r="I108" s="436"/>
      <c r="J108" s="3"/>
      <c r="K108" s="30"/>
      <c r="M108" s="58"/>
    </row>
    <row r="109" spans="1:14" x14ac:dyDescent="0.2">
      <c r="A109" s="431" t="s">
        <v>89</v>
      </c>
      <c r="B109" s="431"/>
      <c r="C109" s="431"/>
      <c r="D109" s="431"/>
      <c r="E109" s="431"/>
      <c r="F109" s="431"/>
      <c r="G109" s="431"/>
      <c r="H109" s="431"/>
      <c r="I109" s="431"/>
      <c r="J109" s="3"/>
      <c r="K109" s="30"/>
    </row>
    <row r="110" spans="1:14" x14ac:dyDescent="0.2">
      <c r="A110" s="61">
        <v>5</v>
      </c>
      <c r="B110" s="427" t="s">
        <v>90</v>
      </c>
      <c r="C110" s="427"/>
      <c r="D110" s="427"/>
      <c r="E110" s="427"/>
      <c r="F110" s="427"/>
      <c r="G110" s="427"/>
      <c r="H110" s="61"/>
      <c r="I110" s="189" t="s">
        <v>19</v>
      </c>
      <c r="J110" s="3"/>
      <c r="K110" s="30"/>
    </row>
    <row r="111" spans="1:14" x14ac:dyDescent="0.2">
      <c r="A111" s="61" t="s">
        <v>1</v>
      </c>
      <c r="B111" s="435" t="s">
        <v>91</v>
      </c>
      <c r="C111" s="435"/>
      <c r="D111" s="435"/>
      <c r="E111" s="435"/>
      <c r="F111" s="435"/>
      <c r="G111" s="435"/>
      <c r="H111" s="60" t="s">
        <v>92</v>
      </c>
      <c r="I111" s="190">
        <f>UNIFORME_EPI!H13</f>
        <v>53.9</v>
      </c>
      <c r="J111" s="3"/>
      <c r="K111" s="30"/>
    </row>
    <row r="112" spans="1:14" x14ac:dyDescent="0.2">
      <c r="A112" s="61" t="s">
        <v>2</v>
      </c>
      <c r="B112" s="435" t="s">
        <v>447</v>
      </c>
      <c r="C112" s="435"/>
      <c r="D112" s="435"/>
      <c r="E112" s="435"/>
      <c r="F112" s="435"/>
      <c r="G112" s="435"/>
      <c r="H112" s="60" t="s">
        <v>92</v>
      </c>
      <c r="I112" s="190">
        <f>EQUIPAMENTOS!G16</f>
        <v>4.3181190476190476</v>
      </c>
      <c r="J112" s="3"/>
      <c r="K112" s="30"/>
    </row>
    <row r="113" spans="1:11" x14ac:dyDescent="0.2">
      <c r="A113" s="298" t="s">
        <v>4</v>
      </c>
      <c r="B113" s="435" t="s">
        <v>212</v>
      </c>
      <c r="C113" s="435"/>
      <c r="D113" s="435"/>
      <c r="E113" s="435"/>
      <c r="F113" s="435"/>
      <c r="G113" s="435"/>
      <c r="H113" s="60" t="s">
        <v>92</v>
      </c>
      <c r="I113" s="190">
        <f>'RELÓGIO_ PONTO '!G8</f>
        <v>4.4444444444444438</v>
      </c>
      <c r="J113" s="3"/>
      <c r="K113" s="30"/>
    </row>
    <row r="114" spans="1:11" x14ac:dyDescent="0.2">
      <c r="A114" s="427" t="s">
        <v>93</v>
      </c>
      <c r="B114" s="427"/>
      <c r="C114" s="427"/>
      <c r="D114" s="427"/>
      <c r="E114" s="427"/>
      <c r="F114" s="427"/>
      <c r="G114" s="427"/>
      <c r="H114" s="5" t="s">
        <v>92</v>
      </c>
      <c r="I114" s="190">
        <f>TRUNC(SUM(I111:I113),2)</f>
        <v>62.66</v>
      </c>
      <c r="J114" s="3"/>
      <c r="K114" s="30"/>
    </row>
    <row r="115" spans="1:11" x14ac:dyDescent="0.2">
      <c r="A115" s="436"/>
      <c r="B115" s="436"/>
      <c r="C115" s="436"/>
      <c r="D115" s="436"/>
      <c r="E115" s="436"/>
      <c r="F115" s="436"/>
      <c r="G115" s="436"/>
      <c r="H115" s="436"/>
      <c r="I115" s="436"/>
      <c r="J115" s="3"/>
      <c r="K115" s="30"/>
    </row>
    <row r="116" spans="1:11" x14ac:dyDescent="0.2">
      <c r="A116" s="431" t="s">
        <v>94</v>
      </c>
      <c r="B116" s="431"/>
      <c r="C116" s="431"/>
      <c r="D116" s="431"/>
      <c r="E116" s="431"/>
      <c r="F116" s="431"/>
      <c r="G116" s="431"/>
      <c r="H116" s="431"/>
      <c r="I116" s="431"/>
      <c r="J116" s="3"/>
      <c r="K116" s="30"/>
    </row>
    <row r="117" spans="1:11" x14ac:dyDescent="0.2">
      <c r="A117" s="61">
        <v>6</v>
      </c>
      <c r="B117" s="427" t="s">
        <v>95</v>
      </c>
      <c r="C117" s="427"/>
      <c r="D117" s="427"/>
      <c r="E117" s="427"/>
      <c r="F117" s="427"/>
      <c r="G117" s="427"/>
      <c r="H117" s="61" t="s">
        <v>18</v>
      </c>
      <c r="I117" s="189" t="s">
        <v>19</v>
      </c>
      <c r="J117" s="3"/>
      <c r="K117" s="30"/>
    </row>
    <row r="118" spans="1:11" x14ac:dyDescent="0.2">
      <c r="A118" s="61" t="s">
        <v>1</v>
      </c>
      <c r="B118" s="428" t="s">
        <v>96</v>
      </c>
      <c r="C118" s="428"/>
      <c r="D118" s="428"/>
      <c r="E118" s="428"/>
      <c r="F118" s="428"/>
      <c r="G118" s="428"/>
      <c r="H118" s="122">
        <v>0.03</v>
      </c>
      <c r="I118" s="190">
        <f>TRUNC(H118*I142,2)</f>
        <v>181.25</v>
      </c>
      <c r="J118" s="3"/>
      <c r="K118" s="30"/>
    </row>
    <row r="119" spans="1:11" x14ac:dyDescent="0.2">
      <c r="A119" s="61" t="s">
        <v>2</v>
      </c>
      <c r="B119" s="428" t="s">
        <v>97</v>
      </c>
      <c r="C119" s="428"/>
      <c r="D119" s="428"/>
      <c r="E119" s="428"/>
      <c r="F119" s="428"/>
      <c r="G119" s="428"/>
      <c r="H119" s="122">
        <v>0.03</v>
      </c>
      <c r="I119" s="190">
        <f>TRUNC(H119*(I118+I142),2)</f>
        <v>186.69</v>
      </c>
      <c r="J119" s="3"/>
      <c r="K119" s="30"/>
    </row>
    <row r="120" spans="1:11" x14ac:dyDescent="0.2">
      <c r="A120" s="61" t="s">
        <v>4</v>
      </c>
      <c r="B120" s="434" t="s">
        <v>98</v>
      </c>
      <c r="C120" s="434"/>
      <c r="D120" s="434"/>
      <c r="E120" s="434"/>
      <c r="F120" s="434"/>
      <c r="G120" s="434"/>
      <c r="H120" s="2"/>
      <c r="I120" s="190"/>
      <c r="J120" s="3"/>
      <c r="K120" s="30"/>
    </row>
    <row r="121" spans="1:11" x14ac:dyDescent="0.2">
      <c r="A121" s="61" t="s">
        <v>99</v>
      </c>
      <c r="B121" s="428" t="s">
        <v>100</v>
      </c>
      <c r="C121" s="428"/>
      <c r="D121" s="428"/>
      <c r="E121" s="428"/>
      <c r="F121" s="428"/>
      <c r="G121" s="428"/>
      <c r="H121" s="20">
        <v>1.6500000000000001E-2</v>
      </c>
      <c r="I121" s="190">
        <f>TRUNC(H121*I131,2)</f>
        <v>123.33</v>
      </c>
      <c r="J121" s="3"/>
      <c r="K121" s="30"/>
    </row>
    <row r="122" spans="1:11" x14ac:dyDescent="0.2">
      <c r="A122" s="61" t="s">
        <v>101</v>
      </c>
      <c r="B122" s="428" t="s">
        <v>102</v>
      </c>
      <c r="C122" s="428"/>
      <c r="D122" s="428"/>
      <c r="E122" s="428"/>
      <c r="F122" s="428"/>
      <c r="G122" s="428"/>
      <c r="H122" s="20">
        <v>7.5999999999999998E-2</v>
      </c>
      <c r="I122" s="190">
        <f>TRUNC(H122*I131,2)</f>
        <v>568.1</v>
      </c>
      <c r="J122" s="3"/>
      <c r="K122" s="30"/>
    </row>
    <row r="123" spans="1:11" x14ac:dyDescent="0.2">
      <c r="A123" s="61" t="s">
        <v>103</v>
      </c>
      <c r="B123" s="428" t="s">
        <v>104</v>
      </c>
      <c r="C123" s="428"/>
      <c r="D123" s="428"/>
      <c r="E123" s="428"/>
      <c r="F123" s="428"/>
      <c r="G123" s="428"/>
      <c r="H123" s="20">
        <v>0.05</v>
      </c>
      <c r="I123" s="190">
        <f>TRUNC(H123*I131,2)</f>
        <v>373.75</v>
      </c>
      <c r="J123" s="3"/>
      <c r="K123" s="40"/>
    </row>
    <row r="124" spans="1:11" x14ac:dyDescent="0.2">
      <c r="A124" s="427" t="s">
        <v>105</v>
      </c>
      <c r="B124" s="427"/>
      <c r="C124" s="427"/>
      <c r="D124" s="427"/>
      <c r="E124" s="427"/>
      <c r="F124" s="427"/>
      <c r="G124" s="427"/>
      <c r="H124" s="123">
        <f>SUM(H118:H123)</f>
        <v>0.20250000000000001</v>
      </c>
      <c r="I124" s="190">
        <f>TRUNC(SUM(I118:I123),2)</f>
        <v>1433.12</v>
      </c>
      <c r="J124" s="3"/>
      <c r="K124" s="30"/>
    </row>
    <row r="125" spans="1:11" x14ac:dyDescent="0.2">
      <c r="A125" s="59"/>
      <c r="B125" s="432"/>
      <c r="C125" s="432"/>
      <c r="D125" s="432"/>
      <c r="E125" s="432"/>
      <c r="F125" s="432"/>
      <c r="G125" s="432"/>
      <c r="H125" s="432"/>
      <c r="I125" s="432"/>
      <c r="K125" s="30"/>
    </row>
    <row r="126" spans="1:11" hidden="1" x14ac:dyDescent="0.2">
      <c r="A126" s="212" t="s">
        <v>106</v>
      </c>
      <c r="B126" s="433" t="s">
        <v>107</v>
      </c>
      <c r="C126" s="433"/>
      <c r="D126" s="433"/>
      <c r="E126" s="433"/>
      <c r="F126" s="433"/>
      <c r="G126" s="433"/>
      <c r="H126" s="213">
        <f>TRUNC(H121+H122+H123,4)</f>
        <v>0.14249999999999999</v>
      </c>
      <c r="I126" s="214"/>
      <c r="K126" s="30"/>
    </row>
    <row r="127" spans="1:11" hidden="1" x14ac:dyDescent="0.2">
      <c r="A127" s="215"/>
      <c r="B127" s="429">
        <v>100</v>
      </c>
      <c r="C127" s="429"/>
      <c r="D127" s="429"/>
      <c r="E127" s="429"/>
      <c r="F127" s="429"/>
      <c r="G127" s="429"/>
      <c r="H127" s="216"/>
      <c r="I127" s="217"/>
      <c r="K127" s="30"/>
    </row>
    <row r="128" spans="1:11" hidden="1" x14ac:dyDescent="0.2">
      <c r="A128" s="218"/>
      <c r="B128" s="219"/>
      <c r="C128" s="219"/>
      <c r="D128" s="219"/>
      <c r="E128" s="219"/>
      <c r="F128" s="219"/>
      <c r="G128" s="219"/>
      <c r="H128" s="216"/>
      <c r="I128" s="217"/>
      <c r="K128" s="30"/>
    </row>
    <row r="129" spans="1:11" hidden="1" x14ac:dyDescent="0.2">
      <c r="A129" s="215" t="s">
        <v>108</v>
      </c>
      <c r="B129" s="429" t="s">
        <v>109</v>
      </c>
      <c r="C129" s="429"/>
      <c r="D129" s="429"/>
      <c r="E129" s="429"/>
      <c r="F129" s="429"/>
      <c r="G129" s="429"/>
      <c r="H129" s="216"/>
      <c r="I129" s="217">
        <f>TRUNC(I142+I118+I119,2)</f>
        <v>6409.84</v>
      </c>
      <c r="K129" s="30"/>
    </row>
    <row r="130" spans="1:11" hidden="1" x14ac:dyDescent="0.2">
      <c r="A130" s="215"/>
      <c r="B130" s="219"/>
      <c r="C130" s="219"/>
      <c r="D130" s="219"/>
      <c r="E130" s="219"/>
      <c r="F130" s="219"/>
      <c r="G130" s="219"/>
      <c r="H130" s="216"/>
      <c r="I130" s="217"/>
      <c r="K130" s="30"/>
    </row>
    <row r="131" spans="1:11" hidden="1" x14ac:dyDescent="0.2">
      <c r="A131" s="215" t="s">
        <v>110</v>
      </c>
      <c r="B131" s="429" t="s">
        <v>111</v>
      </c>
      <c r="C131" s="429"/>
      <c r="D131" s="429"/>
      <c r="E131" s="429"/>
      <c r="F131" s="429"/>
      <c r="G131" s="429"/>
      <c r="H131" s="216"/>
      <c r="I131" s="217">
        <f>TRUNC(I129/(1-H126),2)</f>
        <v>7475.03</v>
      </c>
      <c r="K131" s="30"/>
    </row>
    <row r="132" spans="1:11" hidden="1" x14ac:dyDescent="0.2">
      <c r="A132" s="215"/>
      <c r="B132" s="219"/>
      <c r="C132" s="219"/>
      <c r="D132" s="219"/>
      <c r="E132" s="219"/>
      <c r="F132" s="219"/>
      <c r="G132" s="219"/>
      <c r="H132" s="216"/>
      <c r="I132" s="217"/>
      <c r="K132" s="30"/>
    </row>
    <row r="133" spans="1:11" hidden="1" x14ac:dyDescent="0.2">
      <c r="A133" s="220"/>
      <c r="B133" s="430" t="s">
        <v>112</v>
      </c>
      <c r="C133" s="430"/>
      <c r="D133" s="430"/>
      <c r="E133" s="430"/>
      <c r="F133" s="430"/>
      <c r="G133" s="430"/>
      <c r="H133" s="221"/>
      <c r="I133" s="222">
        <f>TRUNC(I131-I129,2)</f>
        <v>1065.19</v>
      </c>
      <c r="K133" s="28"/>
    </row>
    <row r="134" spans="1:11" ht="2.25" customHeight="1" x14ac:dyDescent="0.2">
      <c r="A134" s="59"/>
      <c r="B134" s="59"/>
      <c r="C134" s="59"/>
      <c r="D134" s="59"/>
      <c r="E134" s="59"/>
      <c r="F134" s="59"/>
      <c r="G134" s="59"/>
      <c r="H134" s="59"/>
      <c r="I134" s="200"/>
      <c r="K134" s="30"/>
    </row>
    <row r="135" spans="1:11" x14ac:dyDescent="0.2">
      <c r="A135" s="431" t="s">
        <v>113</v>
      </c>
      <c r="B135" s="431"/>
      <c r="C135" s="431"/>
      <c r="D135" s="431"/>
      <c r="E135" s="431"/>
      <c r="F135" s="431"/>
      <c r="G135" s="431"/>
      <c r="H135" s="431"/>
      <c r="I135" s="431"/>
      <c r="K135" s="29"/>
    </row>
    <row r="136" spans="1:11" x14ac:dyDescent="0.2">
      <c r="A136" s="427" t="s">
        <v>114</v>
      </c>
      <c r="B136" s="427"/>
      <c r="C136" s="427"/>
      <c r="D136" s="427"/>
      <c r="E136" s="427"/>
      <c r="F136" s="427"/>
      <c r="G136" s="427"/>
      <c r="H136" s="427"/>
      <c r="I136" s="189" t="s">
        <v>19</v>
      </c>
      <c r="K136" s="30"/>
    </row>
    <row r="137" spans="1:11" x14ac:dyDescent="0.2">
      <c r="A137" s="60" t="s">
        <v>1</v>
      </c>
      <c r="B137" s="428" t="str">
        <f>A27</f>
        <v>MÓDULO 1 - COMPOSIÇÃO DA REMUNERAÇÃO</v>
      </c>
      <c r="C137" s="428"/>
      <c r="D137" s="428"/>
      <c r="E137" s="428"/>
      <c r="F137" s="428"/>
      <c r="G137" s="428"/>
      <c r="H137" s="428"/>
      <c r="I137" s="190">
        <f>I35</f>
        <v>2850.44</v>
      </c>
      <c r="K137" s="30"/>
    </row>
    <row r="138" spans="1:11" x14ac:dyDescent="0.2">
      <c r="A138" s="60" t="s">
        <v>2</v>
      </c>
      <c r="B138" s="428" t="str">
        <f>A37</f>
        <v>MÓDULO 2 – ENCARGOS E BENEFÍCIOS ANUAIS, MENSAIS E DIÁRIOS</v>
      </c>
      <c r="C138" s="428"/>
      <c r="D138" s="428"/>
      <c r="E138" s="428"/>
      <c r="F138" s="428"/>
      <c r="G138" s="428"/>
      <c r="H138" s="428"/>
      <c r="I138" s="190">
        <f>I78</f>
        <v>2868.01</v>
      </c>
      <c r="K138" s="30"/>
    </row>
    <row r="139" spans="1:11" x14ac:dyDescent="0.2">
      <c r="A139" s="60" t="s">
        <v>4</v>
      </c>
      <c r="B139" s="428" t="str">
        <f>A80</f>
        <v>MÓDULO 3 – PROVISÃO PARA RESCISÃO</v>
      </c>
      <c r="C139" s="428"/>
      <c r="D139" s="428"/>
      <c r="E139" s="428"/>
      <c r="F139" s="428"/>
      <c r="G139" s="428"/>
      <c r="H139" s="428"/>
      <c r="I139" s="190">
        <f>I87</f>
        <v>205.48</v>
      </c>
      <c r="K139" s="29"/>
    </row>
    <row r="140" spans="1:11" x14ac:dyDescent="0.2">
      <c r="A140" s="60" t="s">
        <v>6</v>
      </c>
      <c r="B140" s="428" t="str">
        <f>A89</f>
        <v>MÓDULO 4 – CUSTO DE REPOSIÇÃO DO PROFISSIONAL AUSENTE</v>
      </c>
      <c r="C140" s="428"/>
      <c r="D140" s="428"/>
      <c r="E140" s="428"/>
      <c r="F140" s="428"/>
      <c r="G140" s="428"/>
      <c r="H140" s="428"/>
      <c r="I140" s="190">
        <f>I107</f>
        <v>55.31</v>
      </c>
      <c r="K140" s="29"/>
    </row>
    <row r="141" spans="1:11" x14ac:dyDescent="0.2">
      <c r="A141" s="60" t="s">
        <v>23</v>
      </c>
      <c r="B141" s="428" t="str">
        <f>A109</f>
        <v>MÓDULO 5 – INSUMOS DIVERSOS</v>
      </c>
      <c r="C141" s="428"/>
      <c r="D141" s="428"/>
      <c r="E141" s="428"/>
      <c r="F141" s="428"/>
      <c r="G141" s="428"/>
      <c r="H141" s="428"/>
      <c r="I141" s="190">
        <f>I114</f>
        <v>62.66</v>
      </c>
      <c r="K141" s="30"/>
    </row>
    <row r="142" spans="1:11" x14ac:dyDescent="0.2">
      <c r="A142" s="61"/>
      <c r="B142" s="427" t="s">
        <v>115</v>
      </c>
      <c r="C142" s="427"/>
      <c r="D142" s="427"/>
      <c r="E142" s="427"/>
      <c r="F142" s="427"/>
      <c r="G142" s="427"/>
      <c r="H142" s="427"/>
      <c r="I142" s="190">
        <f>TRUNC(SUM(I137:I141),2)</f>
        <v>6041.9</v>
      </c>
      <c r="J142" s="40"/>
      <c r="K142" s="28"/>
    </row>
    <row r="143" spans="1:11" x14ac:dyDescent="0.2">
      <c r="A143" s="60" t="s">
        <v>25</v>
      </c>
      <c r="B143" s="428" t="str">
        <f>A116</f>
        <v>MÓDULO 6 – CUSTOS INDIRETOS, TRIBUTOS E LUCRO</v>
      </c>
      <c r="C143" s="428"/>
      <c r="D143" s="428"/>
      <c r="E143" s="428"/>
      <c r="F143" s="428"/>
      <c r="G143" s="428"/>
      <c r="H143" s="428"/>
      <c r="I143" s="190">
        <f>I124</f>
        <v>1433.12</v>
      </c>
    </row>
    <row r="144" spans="1:11" x14ac:dyDescent="0.2">
      <c r="A144" s="427" t="s">
        <v>116</v>
      </c>
      <c r="B144" s="427"/>
      <c r="C144" s="427"/>
      <c r="D144" s="427"/>
      <c r="E144" s="427"/>
      <c r="F144" s="427"/>
      <c r="G144" s="427"/>
      <c r="H144" s="427"/>
      <c r="I144" s="201">
        <f>TRUNC(SUM(I142:I143),2)</f>
        <v>7475.02</v>
      </c>
      <c r="J144" s="56"/>
      <c r="K144" s="56"/>
    </row>
    <row r="145" spans="1:9" x14ac:dyDescent="0.2">
      <c r="A145" s="30"/>
      <c r="B145" s="30"/>
      <c r="C145" s="30"/>
      <c r="D145" s="30"/>
      <c r="E145" s="30"/>
      <c r="F145" s="30"/>
      <c r="G145" s="30"/>
      <c r="H145" s="30"/>
      <c r="I145" s="202"/>
    </row>
  </sheetData>
  <mergeCells count="149">
    <mergeCell ref="A1:I1"/>
    <mergeCell ref="A2:I2"/>
    <mergeCell ref="A3:I3"/>
    <mergeCell ref="A6:I6"/>
    <mergeCell ref="A8:I8"/>
    <mergeCell ref="B12:G12"/>
    <mergeCell ref="H12:I12"/>
    <mergeCell ref="B13:G13"/>
    <mergeCell ref="H13:I13"/>
    <mergeCell ref="B14:G14"/>
    <mergeCell ref="H14:I14"/>
    <mergeCell ref="A4:I4"/>
    <mergeCell ref="A10:I10"/>
    <mergeCell ref="B11:G11"/>
    <mergeCell ref="H11:I11"/>
    <mergeCell ref="A20:I20"/>
    <mergeCell ref="B21:G21"/>
    <mergeCell ref="H21:I21"/>
    <mergeCell ref="B22:G22"/>
    <mergeCell ref="H22:I22"/>
    <mergeCell ref="B23:G23"/>
    <mergeCell ref="H23:I23"/>
    <mergeCell ref="A16:I16"/>
    <mergeCell ref="A17:B17"/>
    <mergeCell ref="C17:D17"/>
    <mergeCell ref="E17:I17"/>
    <mergeCell ref="A18:B18"/>
    <mergeCell ref="C18:D18"/>
    <mergeCell ref="E18:I18"/>
    <mergeCell ref="B29:G29"/>
    <mergeCell ref="B30:G30"/>
    <mergeCell ref="B31:G31"/>
    <mergeCell ref="B32:G32"/>
    <mergeCell ref="B33:G33"/>
    <mergeCell ref="B24:G24"/>
    <mergeCell ref="H24:I24"/>
    <mergeCell ref="B25:G25"/>
    <mergeCell ref="H25:I25"/>
    <mergeCell ref="A26:I26"/>
    <mergeCell ref="A27:I27"/>
    <mergeCell ref="A28:G28"/>
    <mergeCell ref="B40:G40"/>
    <mergeCell ref="B42:G42"/>
    <mergeCell ref="A43:I43"/>
    <mergeCell ref="A44:I44"/>
    <mergeCell ref="B34:G34"/>
    <mergeCell ref="A35:H35"/>
    <mergeCell ref="A36:I36"/>
    <mergeCell ref="A37:I37"/>
    <mergeCell ref="A38:G38"/>
    <mergeCell ref="B39:G39"/>
    <mergeCell ref="B41:G41"/>
    <mergeCell ref="B51:G52"/>
    <mergeCell ref="I51:I52"/>
    <mergeCell ref="B53:G53"/>
    <mergeCell ref="B54:G54"/>
    <mergeCell ref="B55:G55"/>
    <mergeCell ref="B56:G56"/>
    <mergeCell ref="A45:I45"/>
    <mergeCell ref="A46:I46"/>
    <mergeCell ref="A47:I47"/>
    <mergeCell ref="A48:G48"/>
    <mergeCell ref="B49:G49"/>
    <mergeCell ref="B50:G50"/>
    <mergeCell ref="A51:A52"/>
    <mergeCell ref="B64:G64"/>
    <mergeCell ref="B65:G65"/>
    <mergeCell ref="B66:G66"/>
    <mergeCell ref="A67:H67"/>
    <mergeCell ref="A68:I68"/>
    <mergeCell ref="A69:I69"/>
    <mergeCell ref="B57:G57"/>
    <mergeCell ref="A58:G58"/>
    <mergeCell ref="A59:I59"/>
    <mergeCell ref="A60:G60"/>
    <mergeCell ref="B61:G61"/>
    <mergeCell ref="B62:G62"/>
    <mergeCell ref="B63:G63"/>
    <mergeCell ref="B75:H75"/>
    <mergeCell ref="B76:H76"/>
    <mergeCell ref="B77:H77"/>
    <mergeCell ref="A78:H78"/>
    <mergeCell ref="A80:I80"/>
    <mergeCell ref="B81:G81"/>
    <mergeCell ref="J69:R69"/>
    <mergeCell ref="A70:I70"/>
    <mergeCell ref="A71:I71"/>
    <mergeCell ref="A72:I72"/>
    <mergeCell ref="A73:I73"/>
    <mergeCell ref="A74:H74"/>
    <mergeCell ref="A87:G87"/>
    <mergeCell ref="A88:I88"/>
    <mergeCell ref="A89:I89"/>
    <mergeCell ref="A90:G90"/>
    <mergeCell ref="B91:G91"/>
    <mergeCell ref="B92:G92"/>
    <mergeCell ref="B82:G82"/>
    <mergeCell ref="B83:G83"/>
    <mergeCell ref="B84:G84"/>
    <mergeCell ref="B85:G85"/>
    <mergeCell ref="B86:G86"/>
    <mergeCell ref="A99:G99"/>
    <mergeCell ref="B100:G100"/>
    <mergeCell ref="A101:G101"/>
    <mergeCell ref="A102:I102"/>
    <mergeCell ref="A103:I103"/>
    <mergeCell ref="A104:H104"/>
    <mergeCell ref="B93:G93"/>
    <mergeCell ref="B94:G94"/>
    <mergeCell ref="B95:G95"/>
    <mergeCell ref="B96:G96"/>
    <mergeCell ref="A97:G97"/>
    <mergeCell ref="A98:I98"/>
    <mergeCell ref="B111:G111"/>
    <mergeCell ref="B112:G112"/>
    <mergeCell ref="B113:G113"/>
    <mergeCell ref="A114:G114"/>
    <mergeCell ref="A115:I115"/>
    <mergeCell ref="B105:H105"/>
    <mergeCell ref="B106:H106"/>
    <mergeCell ref="A107:H107"/>
    <mergeCell ref="A108:I108"/>
    <mergeCell ref="A109:I109"/>
    <mergeCell ref="B110:G110"/>
    <mergeCell ref="B122:G122"/>
    <mergeCell ref="B123:G123"/>
    <mergeCell ref="A124:G124"/>
    <mergeCell ref="B125:I125"/>
    <mergeCell ref="B126:G126"/>
    <mergeCell ref="B127:G127"/>
    <mergeCell ref="A116:I116"/>
    <mergeCell ref="B117:G117"/>
    <mergeCell ref="B118:G118"/>
    <mergeCell ref="B119:G119"/>
    <mergeCell ref="B120:G120"/>
    <mergeCell ref="B121:G121"/>
    <mergeCell ref="A144:H144"/>
    <mergeCell ref="B138:H138"/>
    <mergeCell ref="B139:H139"/>
    <mergeCell ref="B140:H140"/>
    <mergeCell ref="B141:H141"/>
    <mergeCell ref="B142:H142"/>
    <mergeCell ref="B143:H143"/>
    <mergeCell ref="B129:G129"/>
    <mergeCell ref="B131:G131"/>
    <mergeCell ref="B133:G133"/>
    <mergeCell ref="A135:I135"/>
    <mergeCell ref="A136:H136"/>
    <mergeCell ref="B137:H137"/>
  </mergeCells>
  <pageMargins left="0.51181102362204722" right="0.51181102362204722" top="1.6535433070866143" bottom="1.299212598425197" header="0.11811023622047245" footer="0.31496062992125984"/>
  <pageSetup paperSize="9" scale="73" orientation="portrait" r:id="rId1"/>
  <rowBreaks count="1" manualBreakCount="1">
    <brk id="64"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view="pageBreakPreview" zoomScaleNormal="100" zoomScaleSheetLayoutView="100" workbookViewId="0">
      <selection activeCell="A14" sqref="A14:D14"/>
    </sheetView>
  </sheetViews>
  <sheetFormatPr defaultRowHeight="14.25" x14ac:dyDescent="0.2"/>
  <cols>
    <col min="1" max="1" width="9.140625" style="42"/>
    <col min="2" max="2" width="17.28515625" style="42" customWidth="1"/>
    <col min="3" max="3" width="19.140625" style="42" customWidth="1"/>
    <col min="4" max="4" width="17.7109375" style="42" customWidth="1"/>
    <col min="5" max="5" width="23.140625" style="42" customWidth="1"/>
    <col min="6" max="6" width="8.7109375" style="42" customWidth="1"/>
    <col min="7" max="7" width="19" style="42" customWidth="1"/>
    <col min="8" max="257" width="9.140625" style="42"/>
    <col min="258" max="258" width="17.28515625" style="42" customWidth="1"/>
    <col min="259" max="259" width="19.140625" style="42" customWidth="1"/>
    <col min="260" max="260" width="17.7109375" style="42" customWidth="1"/>
    <col min="261" max="261" width="23.140625" style="42" customWidth="1"/>
    <col min="262" max="262" width="19.140625" style="42" customWidth="1"/>
    <col min="263" max="263" width="27.5703125" style="42" customWidth="1"/>
    <col min="264" max="513" width="9.140625" style="42"/>
    <col min="514" max="514" width="17.28515625" style="42" customWidth="1"/>
    <col min="515" max="515" width="19.140625" style="42" customWidth="1"/>
    <col min="516" max="516" width="17.7109375" style="42" customWidth="1"/>
    <col min="517" max="517" width="23.140625" style="42" customWidth="1"/>
    <col min="518" max="518" width="19.140625" style="42" customWidth="1"/>
    <col min="519" max="519" width="27.5703125" style="42" customWidth="1"/>
    <col min="520" max="769" width="9.140625" style="42"/>
    <col min="770" max="770" width="17.28515625" style="42" customWidth="1"/>
    <col min="771" max="771" width="19.140625" style="42" customWidth="1"/>
    <col min="772" max="772" width="17.7109375" style="42" customWidth="1"/>
    <col min="773" max="773" width="23.140625" style="42" customWidth="1"/>
    <col min="774" max="774" width="19.140625" style="42" customWidth="1"/>
    <col min="775" max="775" width="27.5703125" style="42" customWidth="1"/>
    <col min="776" max="1025" width="9.140625" style="42"/>
    <col min="1026" max="1026" width="17.28515625" style="42" customWidth="1"/>
    <col min="1027" max="1027" width="19.140625" style="42" customWidth="1"/>
    <col min="1028" max="1028" width="17.7109375" style="42" customWidth="1"/>
    <col min="1029" max="1029" width="23.140625" style="42" customWidth="1"/>
    <col min="1030" max="1030" width="19.140625" style="42" customWidth="1"/>
    <col min="1031" max="1031" width="27.5703125" style="42" customWidth="1"/>
    <col min="1032" max="1281" width="9.140625" style="42"/>
    <col min="1282" max="1282" width="17.28515625" style="42" customWidth="1"/>
    <col min="1283" max="1283" width="19.140625" style="42" customWidth="1"/>
    <col min="1284" max="1284" width="17.7109375" style="42" customWidth="1"/>
    <col min="1285" max="1285" width="23.140625" style="42" customWidth="1"/>
    <col min="1286" max="1286" width="19.140625" style="42" customWidth="1"/>
    <col min="1287" max="1287" width="27.5703125" style="42" customWidth="1"/>
    <col min="1288" max="1537" width="9.140625" style="42"/>
    <col min="1538" max="1538" width="17.28515625" style="42" customWidth="1"/>
    <col min="1539" max="1539" width="19.140625" style="42" customWidth="1"/>
    <col min="1540" max="1540" width="17.7109375" style="42" customWidth="1"/>
    <col min="1541" max="1541" width="23.140625" style="42" customWidth="1"/>
    <col min="1542" max="1542" width="19.140625" style="42" customWidth="1"/>
    <col min="1543" max="1543" width="27.5703125" style="42" customWidth="1"/>
    <col min="1544" max="1793" width="9.140625" style="42"/>
    <col min="1794" max="1794" width="17.28515625" style="42" customWidth="1"/>
    <col min="1795" max="1795" width="19.140625" style="42" customWidth="1"/>
    <col min="1796" max="1796" width="17.7109375" style="42" customWidth="1"/>
    <col min="1797" max="1797" width="23.140625" style="42" customWidth="1"/>
    <col min="1798" max="1798" width="19.140625" style="42" customWidth="1"/>
    <col min="1799" max="1799" width="27.5703125" style="42" customWidth="1"/>
    <col min="1800" max="2049" width="9.140625" style="42"/>
    <col min="2050" max="2050" width="17.28515625" style="42" customWidth="1"/>
    <col min="2051" max="2051" width="19.140625" style="42" customWidth="1"/>
    <col min="2052" max="2052" width="17.7109375" style="42" customWidth="1"/>
    <col min="2053" max="2053" width="23.140625" style="42" customWidth="1"/>
    <col min="2054" max="2054" width="19.140625" style="42" customWidth="1"/>
    <col min="2055" max="2055" width="27.5703125" style="42" customWidth="1"/>
    <col min="2056" max="2305" width="9.140625" style="42"/>
    <col min="2306" max="2306" width="17.28515625" style="42" customWidth="1"/>
    <col min="2307" max="2307" width="19.140625" style="42" customWidth="1"/>
    <col min="2308" max="2308" width="17.7109375" style="42" customWidth="1"/>
    <col min="2309" max="2309" width="23.140625" style="42" customWidth="1"/>
    <col min="2310" max="2310" width="19.140625" style="42" customWidth="1"/>
    <col min="2311" max="2311" width="27.5703125" style="42" customWidth="1"/>
    <col min="2312" max="2561" width="9.140625" style="42"/>
    <col min="2562" max="2562" width="17.28515625" style="42" customWidth="1"/>
    <col min="2563" max="2563" width="19.140625" style="42" customWidth="1"/>
    <col min="2564" max="2564" width="17.7109375" style="42" customWidth="1"/>
    <col min="2565" max="2565" width="23.140625" style="42" customWidth="1"/>
    <col min="2566" max="2566" width="19.140625" style="42" customWidth="1"/>
    <col min="2567" max="2567" width="27.5703125" style="42" customWidth="1"/>
    <col min="2568" max="2817" width="9.140625" style="42"/>
    <col min="2818" max="2818" width="17.28515625" style="42" customWidth="1"/>
    <col min="2819" max="2819" width="19.140625" style="42" customWidth="1"/>
    <col min="2820" max="2820" width="17.7109375" style="42" customWidth="1"/>
    <col min="2821" max="2821" width="23.140625" style="42" customWidth="1"/>
    <col min="2822" max="2822" width="19.140625" style="42" customWidth="1"/>
    <col min="2823" max="2823" width="27.5703125" style="42" customWidth="1"/>
    <col min="2824" max="3073" width="9.140625" style="42"/>
    <col min="3074" max="3074" width="17.28515625" style="42" customWidth="1"/>
    <col min="3075" max="3075" width="19.140625" style="42" customWidth="1"/>
    <col min="3076" max="3076" width="17.7109375" style="42" customWidth="1"/>
    <col min="3077" max="3077" width="23.140625" style="42" customWidth="1"/>
    <col min="3078" max="3078" width="19.140625" style="42" customWidth="1"/>
    <col min="3079" max="3079" width="27.5703125" style="42" customWidth="1"/>
    <col min="3080" max="3329" width="9.140625" style="42"/>
    <col min="3330" max="3330" width="17.28515625" style="42" customWidth="1"/>
    <col min="3331" max="3331" width="19.140625" style="42" customWidth="1"/>
    <col min="3332" max="3332" width="17.7109375" style="42" customWidth="1"/>
    <col min="3333" max="3333" width="23.140625" style="42" customWidth="1"/>
    <col min="3334" max="3334" width="19.140625" style="42" customWidth="1"/>
    <col min="3335" max="3335" width="27.5703125" style="42" customWidth="1"/>
    <col min="3336" max="3585" width="9.140625" style="42"/>
    <col min="3586" max="3586" width="17.28515625" style="42" customWidth="1"/>
    <col min="3587" max="3587" width="19.140625" style="42" customWidth="1"/>
    <col min="3588" max="3588" width="17.7109375" style="42" customWidth="1"/>
    <col min="3589" max="3589" width="23.140625" style="42" customWidth="1"/>
    <col min="3590" max="3590" width="19.140625" style="42" customWidth="1"/>
    <col min="3591" max="3591" width="27.5703125" style="42" customWidth="1"/>
    <col min="3592" max="3841" width="9.140625" style="42"/>
    <col min="3842" max="3842" width="17.28515625" style="42" customWidth="1"/>
    <col min="3843" max="3843" width="19.140625" style="42" customWidth="1"/>
    <col min="3844" max="3844" width="17.7109375" style="42" customWidth="1"/>
    <col min="3845" max="3845" width="23.140625" style="42" customWidth="1"/>
    <col min="3846" max="3846" width="19.140625" style="42" customWidth="1"/>
    <col min="3847" max="3847" width="27.5703125" style="42" customWidth="1"/>
    <col min="3848" max="4097" width="9.140625" style="42"/>
    <col min="4098" max="4098" width="17.28515625" style="42" customWidth="1"/>
    <col min="4099" max="4099" width="19.140625" style="42" customWidth="1"/>
    <col min="4100" max="4100" width="17.7109375" style="42" customWidth="1"/>
    <col min="4101" max="4101" width="23.140625" style="42" customWidth="1"/>
    <col min="4102" max="4102" width="19.140625" style="42" customWidth="1"/>
    <col min="4103" max="4103" width="27.5703125" style="42" customWidth="1"/>
    <col min="4104" max="4353" width="9.140625" style="42"/>
    <col min="4354" max="4354" width="17.28515625" style="42" customWidth="1"/>
    <col min="4355" max="4355" width="19.140625" style="42" customWidth="1"/>
    <col min="4356" max="4356" width="17.7109375" style="42" customWidth="1"/>
    <col min="4357" max="4357" width="23.140625" style="42" customWidth="1"/>
    <col min="4358" max="4358" width="19.140625" style="42" customWidth="1"/>
    <col min="4359" max="4359" width="27.5703125" style="42" customWidth="1"/>
    <col min="4360" max="4609" width="9.140625" style="42"/>
    <col min="4610" max="4610" width="17.28515625" style="42" customWidth="1"/>
    <col min="4611" max="4611" width="19.140625" style="42" customWidth="1"/>
    <col min="4612" max="4612" width="17.7109375" style="42" customWidth="1"/>
    <col min="4613" max="4613" width="23.140625" style="42" customWidth="1"/>
    <col min="4614" max="4614" width="19.140625" style="42" customWidth="1"/>
    <col min="4615" max="4615" width="27.5703125" style="42" customWidth="1"/>
    <col min="4616" max="4865" width="9.140625" style="42"/>
    <col min="4866" max="4866" width="17.28515625" style="42" customWidth="1"/>
    <col min="4867" max="4867" width="19.140625" style="42" customWidth="1"/>
    <col min="4868" max="4868" width="17.7109375" style="42" customWidth="1"/>
    <col min="4869" max="4869" width="23.140625" style="42" customWidth="1"/>
    <col min="4870" max="4870" width="19.140625" style="42" customWidth="1"/>
    <col min="4871" max="4871" width="27.5703125" style="42" customWidth="1"/>
    <col min="4872" max="5121" width="9.140625" style="42"/>
    <col min="5122" max="5122" width="17.28515625" style="42" customWidth="1"/>
    <col min="5123" max="5123" width="19.140625" style="42" customWidth="1"/>
    <col min="5124" max="5124" width="17.7109375" style="42" customWidth="1"/>
    <col min="5125" max="5125" width="23.140625" style="42" customWidth="1"/>
    <col min="5126" max="5126" width="19.140625" style="42" customWidth="1"/>
    <col min="5127" max="5127" width="27.5703125" style="42" customWidth="1"/>
    <col min="5128" max="5377" width="9.140625" style="42"/>
    <col min="5378" max="5378" width="17.28515625" style="42" customWidth="1"/>
    <col min="5379" max="5379" width="19.140625" style="42" customWidth="1"/>
    <col min="5380" max="5380" width="17.7109375" style="42" customWidth="1"/>
    <col min="5381" max="5381" width="23.140625" style="42" customWidth="1"/>
    <col min="5382" max="5382" width="19.140625" style="42" customWidth="1"/>
    <col min="5383" max="5383" width="27.5703125" style="42" customWidth="1"/>
    <col min="5384" max="5633" width="9.140625" style="42"/>
    <col min="5634" max="5634" width="17.28515625" style="42" customWidth="1"/>
    <col min="5635" max="5635" width="19.140625" style="42" customWidth="1"/>
    <col min="5636" max="5636" width="17.7109375" style="42" customWidth="1"/>
    <col min="5637" max="5637" width="23.140625" style="42" customWidth="1"/>
    <col min="5638" max="5638" width="19.140625" style="42" customWidth="1"/>
    <col min="5639" max="5639" width="27.5703125" style="42" customWidth="1"/>
    <col min="5640" max="5889" width="9.140625" style="42"/>
    <col min="5890" max="5890" width="17.28515625" style="42" customWidth="1"/>
    <col min="5891" max="5891" width="19.140625" style="42" customWidth="1"/>
    <col min="5892" max="5892" width="17.7109375" style="42" customWidth="1"/>
    <col min="5893" max="5893" width="23.140625" style="42" customWidth="1"/>
    <col min="5894" max="5894" width="19.140625" style="42" customWidth="1"/>
    <col min="5895" max="5895" width="27.5703125" style="42" customWidth="1"/>
    <col min="5896" max="6145" width="9.140625" style="42"/>
    <col min="6146" max="6146" width="17.28515625" style="42" customWidth="1"/>
    <col min="6147" max="6147" width="19.140625" style="42" customWidth="1"/>
    <col min="6148" max="6148" width="17.7109375" style="42" customWidth="1"/>
    <col min="6149" max="6149" width="23.140625" style="42" customWidth="1"/>
    <col min="6150" max="6150" width="19.140625" style="42" customWidth="1"/>
    <col min="6151" max="6151" width="27.5703125" style="42" customWidth="1"/>
    <col min="6152" max="6401" width="9.140625" style="42"/>
    <col min="6402" max="6402" width="17.28515625" style="42" customWidth="1"/>
    <col min="6403" max="6403" width="19.140625" style="42" customWidth="1"/>
    <col min="6404" max="6404" width="17.7109375" style="42" customWidth="1"/>
    <col min="6405" max="6405" width="23.140625" style="42" customWidth="1"/>
    <col min="6406" max="6406" width="19.140625" style="42" customWidth="1"/>
    <col min="6407" max="6407" width="27.5703125" style="42" customWidth="1"/>
    <col min="6408" max="6657" width="9.140625" style="42"/>
    <col min="6658" max="6658" width="17.28515625" style="42" customWidth="1"/>
    <col min="6659" max="6659" width="19.140625" style="42" customWidth="1"/>
    <col min="6660" max="6660" width="17.7109375" style="42" customWidth="1"/>
    <col min="6661" max="6661" width="23.140625" style="42" customWidth="1"/>
    <col min="6662" max="6662" width="19.140625" style="42" customWidth="1"/>
    <col min="6663" max="6663" width="27.5703125" style="42" customWidth="1"/>
    <col min="6664" max="6913" width="9.140625" style="42"/>
    <col min="6914" max="6914" width="17.28515625" style="42" customWidth="1"/>
    <col min="6915" max="6915" width="19.140625" style="42" customWidth="1"/>
    <col min="6916" max="6916" width="17.7109375" style="42" customWidth="1"/>
    <col min="6917" max="6917" width="23.140625" style="42" customWidth="1"/>
    <col min="6918" max="6918" width="19.140625" style="42" customWidth="1"/>
    <col min="6919" max="6919" width="27.5703125" style="42" customWidth="1"/>
    <col min="6920" max="7169" width="9.140625" style="42"/>
    <col min="7170" max="7170" width="17.28515625" style="42" customWidth="1"/>
    <col min="7171" max="7171" width="19.140625" style="42" customWidth="1"/>
    <col min="7172" max="7172" width="17.7109375" style="42" customWidth="1"/>
    <col min="7173" max="7173" width="23.140625" style="42" customWidth="1"/>
    <col min="7174" max="7174" width="19.140625" style="42" customWidth="1"/>
    <col min="7175" max="7175" width="27.5703125" style="42" customWidth="1"/>
    <col min="7176" max="7425" width="9.140625" style="42"/>
    <col min="7426" max="7426" width="17.28515625" style="42" customWidth="1"/>
    <col min="7427" max="7427" width="19.140625" style="42" customWidth="1"/>
    <col min="7428" max="7428" width="17.7109375" style="42" customWidth="1"/>
    <col min="7429" max="7429" width="23.140625" style="42" customWidth="1"/>
    <col min="7430" max="7430" width="19.140625" style="42" customWidth="1"/>
    <col min="7431" max="7431" width="27.5703125" style="42" customWidth="1"/>
    <col min="7432" max="7681" width="9.140625" style="42"/>
    <col min="7682" max="7682" width="17.28515625" style="42" customWidth="1"/>
    <col min="7683" max="7683" width="19.140625" style="42" customWidth="1"/>
    <col min="7684" max="7684" width="17.7109375" style="42" customWidth="1"/>
    <col min="7685" max="7685" width="23.140625" style="42" customWidth="1"/>
    <col min="7686" max="7686" width="19.140625" style="42" customWidth="1"/>
    <col min="7687" max="7687" width="27.5703125" style="42" customWidth="1"/>
    <col min="7688" max="7937" width="9.140625" style="42"/>
    <col min="7938" max="7938" width="17.28515625" style="42" customWidth="1"/>
    <col min="7939" max="7939" width="19.140625" style="42" customWidth="1"/>
    <col min="7940" max="7940" width="17.7109375" style="42" customWidth="1"/>
    <col min="7941" max="7941" width="23.140625" style="42" customWidth="1"/>
    <col min="7942" max="7942" width="19.140625" style="42" customWidth="1"/>
    <col min="7943" max="7943" width="27.5703125" style="42" customWidth="1"/>
    <col min="7944" max="8193" width="9.140625" style="42"/>
    <col min="8194" max="8194" width="17.28515625" style="42" customWidth="1"/>
    <col min="8195" max="8195" width="19.140625" style="42" customWidth="1"/>
    <col min="8196" max="8196" width="17.7109375" style="42" customWidth="1"/>
    <col min="8197" max="8197" width="23.140625" style="42" customWidth="1"/>
    <col min="8198" max="8198" width="19.140625" style="42" customWidth="1"/>
    <col min="8199" max="8199" width="27.5703125" style="42" customWidth="1"/>
    <col min="8200" max="8449" width="9.140625" style="42"/>
    <col min="8450" max="8450" width="17.28515625" style="42" customWidth="1"/>
    <col min="8451" max="8451" width="19.140625" style="42" customWidth="1"/>
    <col min="8452" max="8452" width="17.7109375" style="42" customWidth="1"/>
    <col min="8453" max="8453" width="23.140625" style="42" customWidth="1"/>
    <col min="8454" max="8454" width="19.140625" style="42" customWidth="1"/>
    <col min="8455" max="8455" width="27.5703125" style="42" customWidth="1"/>
    <col min="8456" max="8705" width="9.140625" style="42"/>
    <col min="8706" max="8706" width="17.28515625" style="42" customWidth="1"/>
    <col min="8707" max="8707" width="19.140625" style="42" customWidth="1"/>
    <col min="8708" max="8708" width="17.7109375" style="42" customWidth="1"/>
    <col min="8709" max="8709" width="23.140625" style="42" customWidth="1"/>
    <col min="8710" max="8710" width="19.140625" style="42" customWidth="1"/>
    <col min="8711" max="8711" width="27.5703125" style="42" customWidth="1"/>
    <col min="8712" max="8961" width="9.140625" style="42"/>
    <col min="8962" max="8962" width="17.28515625" style="42" customWidth="1"/>
    <col min="8963" max="8963" width="19.140625" style="42" customWidth="1"/>
    <col min="8964" max="8964" width="17.7109375" style="42" customWidth="1"/>
    <col min="8965" max="8965" width="23.140625" style="42" customWidth="1"/>
    <col min="8966" max="8966" width="19.140625" style="42" customWidth="1"/>
    <col min="8967" max="8967" width="27.5703125" style="42" customWidth="1"/>
    <col min="8968" max="9217" width="9.140625" style="42"/>
    <col min="9218" max="9218" width="17.28515625" style="42" customWidth="1"/>
    <col min="9219" max="9219" width="19.140625" style="42" customWidth="1"/>
    <col min="9220" max="9220" width="17.7109375" style="42" customWidth="1"/>
    <col min="9221" max="9221" width="23.140625" style="42" customWidth="1"/>
    <col min="9222" max="9222" width="19.140625" style="42" customWidth="1"/>
    <col min="9223" max="9223" width="27.5703125" style="42" customWidth="1"/>
    <col min="9224" max="9473" width="9.140625" style="42"/>
    <col min="9474" max="9474" width="17.28515625" style="42" customWidth="1"/>
    <col min="9475" max="9475" width="19.140625" style="42" customWidth="1"/>
    <col min="9476" max="9476" width="17.7109375" style="42" customWidth="1"/>
    <col min="9477" max="9477" width="23.140625" style="42" customWidth="1"/>
    <col min="9478" max="9478" width="19.140625" style="42" customWidth="1"/>
    <col min="9479" max="9479" width="27.5703125" style="42" customWidth="1"/>
    <col min="9480" max="9729" width="9.140625" style="42"/>
    <col min="9730" max="9730" width="17.28515625" style="42" customWidth="1"/>
    <col min="9731" max="9731" width="19.140625" style="42" customWidth="1"/>
    <col min="9732" max="9732" width="17.7109375" style="42" customWidth="1"/>
    <col min="9733" max="9733" width="23.140625" style="42" customWidth="1"/>
    <col min="9734" max="9734" width="19.140625" style="42" customWidth="1"/>
    <col min="9735" max="9735" width="27.5703125" style="42" customWidth="1"/>
    <col min="9736" max="9985" width="9.140625" style="42"/>
    <col min="9986" max="9986" width="17.28515625" style="42" customWidth="1"/>
    <col min="9987" max="9987" width="19.140625" style="42" customWidth="1"/>
    <col min="9988" max="9988" width="17.7109375" style="42" customWidth="1"/>
    <col min="9989" max="9989" width="23.140625" style="42" customWidth="1"/>
    <col min="9990" max="9990" width="19.140625" style="42" customWidth="1"/>
    <col min="9991" max="9991" width="27.5703125" style="42" customWidth="1"/>
    <col min="9992" max="10241" width="9.140625" style="42"/>
    <col min="10242" max="10242" width="17.28515625" style="42" customWidth="1"/>
    <col min="10243" max="10243" width="19.140625" style="42" customWidth="1"/>
    <col min="10244" max="10244" width="17.7109375" style="42" customWidth="1"/>
    <col min="10245" max="10245" width="23.140625" style="42" customWidth="1"/>
    <col min="10246" max="10246" width="19.140625" style="42" customWidth="1"/>
    <col min="10247" max="10247" width="27.5703125" style="42" customWidth="1"/>
    <col min="10248" max="10497" width="9.140625" style="42"/>
    <col min="10498" max="10498" width="17.28515625" style="42" customWidth="1"/>
    <col min="10499" max="10499" width="19.140625" style="42" customWidth="1"/>
    <col min="10500" max="10500" width="17.7109375" style="42" customWidth="1"/>
    <col min="10501" max="10501" width="23.140625" style="42" customWidth="1"/>
    <col min="10502" max="10502" width="19.140625" style="42" customWidth="1"/>
    <col min="10503" max="10503" width="27.5703125" style="42" customWidth="1"/>
    <col min="10504" max="10753" width="9.140625" style="42"/>
    <col min="10754" max="10754" width="17.28515625" style="42" customWidth="1"/>
    <col min="10755" max="10755" width="19.140625" style="42" customWidth="1"/>
    <col min="10756" max="10756" width="17.7109375" style="42" customWidth="1"/>
    <col min="10757" max="10757" width="23.140625" style="42" customWidth="1"/>
    <col min="10758" max="10758" width="19.140625" style="42" customWidth="1"/>
    <col min="10759" max="10759" width="27.5703125" style="42" customWidth="1"/>
    <col min="10760" max="11009" width="9.140625" style="42"/>
    <col min="11010" max="11010" width="17.28515625" style="42" customWidth="1"/>
    <col min="11011" max="11011" width="19.140625" style="42" customWidth="1"/>
    <col min="11012" max="11012" width="17.7109375" style="42" customWidth="1"/>
    <col min="11013" max="11013" width="23.140625" style="42" customWidth="1"/>
    <col min="11014" max="11014" width="19.140625" style="42" customWidth="1"/>
    <col min="11015" max="11015" width="27.5703125" style="42" customWidth="1"/>
    <col min="11016" max="11265" width="9.140625" style="42"/>
    <col min="11266" max="11266" width="17.28515625" style="42" customWidth="1"/>
    <col min="11267" max="11267" width="19.140625" style="42" customWidth="1"/>
    <col min="11268" max="11268" width="17.7109375" style="42" customWidth="1"/>
    <col min="11269" max="11269" width="23.140625" style="42" customWidth="1"/>
    <col min="11270" max="11270" width="19.140625" style="42" customWidth="1"/>
    <col min="11271" max="11271" width="27.5703125" style="42" customWidth="1"/>
    <col min="11272" max="11521" width="9.140625" style="42"/>
    <col min="11522" max="11522" width="17.28515625" style="42" customWidth="1"/>
    <col min="11523" max="11523" width="19.140625" style="42" customWidth="1"/>
    <col min="11524" max="11524" width="17.7109375" style="42" customWidth="1"/>
    <col min="11525" max="11525" width="23.140625" style="42" customWidth="1"/>
    <col min="11526" max="11526" width="19.140625" style="42" customWidth="1"/>
    <col min="11527" max="11527" width="27.5703125" style="42" customWidth="1"/>
    <col min="11528" max="11777" width="9.140625" style="42"/>
    <col min="11778" max="11778" width="17.28515625" style="42" customWidth="1"/>
    <col min="11779" max="11779" width="19.140625" style="42" customWidth="1"/>
    <col min="11780" max="11780" width="17.7109375" style="42" customWidth="1"/>
    <col min="11781" max="11781" width="23.140625" style="42" customWidth="1"/>
    <col min="11782" max="11782" width="19.140625" style="42" customWidth="1"/>
    <col min="11783" max="11783" width="27.5703125" style="42" customWidth="1"/>
    <col min="11784" max="12033" width="9.140625" style="42"/>
    <col min="12034" max="12034" width="17.28515625" style="42" customWidth="1"/>
    <col min="12035" max="12035" width="19.140625" style="42" customWidth="1"/>
    <col min="12036" max="12036" width="17.7109375" style="42" customWidth="1"/>
    <col min="12037" max="12037" width="23.140625" style="42" customWidth="1"/>
    <col min="12038" max="12038" width="19.140625" style="42" customWidth="1"/>
    <col min="12039" max="12039" width="27.5703125" style="42" customWidth="1"/>
    <col min="12040" max="12289" width="9.140625" style="42"/>
    <col min="12290" max="12290" width="17.28515625" style="42" customWidth="1"/>
    <col min="12291" max="12291" width="19.140625" style="42" customWidth="1"/>
    <col min="12292" max="12292" width="17.7109375" style="42" customWidth="1"/>
    <col min="12293" max="12293" width="23.140625" style="42" customWidth="1"/>
    <col min="12294" max="12294" width="19.140625" style="42" customWidth="1"/>
    <col min="12295" max="12295" width="27.5703125" style="42" customWidth="1"/>
    <col min="12296" max="12545" width="9.140625" style="42"/>
    <col min="12546" max="12546" width="17.28515625" style="42" customWidth="1"/>
    <col min="12547" max="12547" width="19.140625" style="42" customWidth="1"/>
    <col min="12548" max="12548" width="17.7109375" style="42" customWidth="1"/>
    <col min="12549" max="12549" width="23.140625" style="42" customWidth="1"/>
    <col min="12550" max="12550" width="19.140625" style="42" customWidth="1"/>
    <col min="12551" max="12551" width="27.5703125" style="42" customWidth="1"/>
    <col min="12552" max="12801" width="9.140625" style="42"/>
    <col min="12802" max="12802" width="17.28515625" style="42" customWidth="1"/>
    <col min="12803" max="12803" width="19.140625" style="42" customWidth="1"/>
    <col min="12804" max="12804" width="17.7109375" style="42" customWidth="1"/>
    <col min="12805" max="12805" width="23.140625" style="42" customWidth="1"/>
    <col min="12806" max="12806" width="19.140625" style="42" customWidth="1"/>
    <col min="12807" max="12807" width="27.5703125" style="42" customWidth="1"/>
    <col min="12808" max="13057" width="9.140625" style="42"/>
    <col min="13058" max="13058" width="17.28515625" style="42" customWidth="1"/>
    <col min="13059" max="13059" width="19.140625" style="42" customWidth="1"/>
    <col min="13060" max="13060" width="17.7109375" style="42" customWidth="1"/>
    <col min="13061" max="13061" width="23.140625" style="42" customWidth="1"/>
    <col min="13062" max="13062" width="19.140625" style="42" customWidth="1"/>
    <col min="13063" max="13063" width="27.5703125" style="42" customWidth="1"/>
    <col min="13064" max="13313" width="9.140625" style="42"/>
    <col min="13314" max="13314" width="17.28515625" style="42" customWidth="1"/>
    <col min="13315" max="13315" width="19.140625" style="42" customWidth="1"/>
    <col min="13316" max="13316" width="17.7109375" style="42" customWidth="1"/>
    <col min="13317" max="13317" width="23.140625" style="42" customWidth="1"/>
    <col min="13318" max="13318" width="19.140625" style="42" customWidth="1"/>
    <col min="13319" max="13319" width="27.5703125" style="42" customWidth="1"/>
    <col min="13320" max="13569" width="9.140625" style="42"/>
    <col min="13570" max="13570" width="17.28515625" style="42" customWidth="1"/>
    <col min="13571" max="13571" width="19.140625" style="42" customWidth="1"/>
    <col min="13572" max="13572" width="17.7109375" style="42" customWidth="1"/>
    <col min="13573" max="13573" width="23.140625" style="42" customWidth="1"/>
    <col min="13574" max="13574" width="19.140625" style="42" customWidth="1"/>
    <col min="13575" max="13575" width="27.5703125" style="42" customWidth="1"/>
    <col min="13576" max="13825" width="9.140625" style="42"/>
    <col min="13826" max="13826" width="17.28515625" style="42" customWidth="1"/>
    <col min="13827" max="13827" width="19.140625" style="42" customWidth="1"/>
    <col min="13828" max="13828" width="17.7109375" style="42" customWidth="1"/>
    <col min="13829" max="13829" width="23.140625" style="42" customWidth="1"/>
    <col min="13830" max="13830" width="19.140625" style="42" customWidth="1"/>
    <col min="13831" max="13831" width="27.5703125" style="42" customWidth="1"/>
    <col min="13832" max="14081" width="9.140625" style="42"/>
    <col min="14082" max="14082" width="17.28515625" style="42" customWidth="1"/>
    <col min="14083" max="14083" width="19.140625" style="42" customWidth="1"/>
    <col min="14084" max="14084" width="17.7109375" style="42" customWidth="1"/>
    <col min="14085" max="14085" width="23.140625" style="42" customWidth="1"/>
    <col min="14086" max="14086" width="19.140625" style="42" customWidth="1"/>
    <col min="14087" max="14087" width="27.5703125" style="42" customWidth="1"/>
    <col min="14088" max="14337" width="9.140625" style="42"/>
    <col min="14338" max="14338" width="17.28515625" style="42" customWidth="1"/>
    <col min="14339" max="14339" width="19.140625" style="42" customWidth="1"/>
    <col min="14340" max="14340" width="17.7109375" style="42" customWidth="1"/>
    <col min="14341" max="14341" width="23.140625" style="42" customWidth="1"/>
    <col min="14342" max="14342" width="19.140625" style="42" customWidth="1"/>
    <col min="14343" max="14343" width="27.5703125" style="42" customWidth="1"/>
    <col min="14344" max="14593" width="9.140625" style="42"/>
    <col min="14594" max="14594" width="17.28515625" style="42" customWidth="1"/>
    <col min="14595" max="14595" width="19.140625" style="42" customWidth="1"/>
    <col min="14596" max="14596" width="17.7109375" style="42" customWidth="1"/>
    <col min="14597" max="14597" width="23.140625" style="42" customWidth="1"/>
    <col min="14598" max="14598" width="19.140625" style="42" customWidth="1"/>
    <col min="14599" max="14599" width="27.5703125" style="42" customWidth="1"/>
    <col min="14600" max="14849" width="9.140625" style="42"/>
    <col min="14850" max="14850" width="17.28515625" style="42" customWidth="1"/>
    <col min="14851" max="14851" width="19.140625" style="42" customWidth="1"/>
    <col min="14852" max="14852" width="17.7109375" style="42" customWidth="1"/>
    <col min="14853" max="14853" width="23.140625" style="42" customWidth="1"/>
    <col min="14854" max="14854" width="19.140625" style="42" customWidth="1"/>
    <col min="14855" max="14855" width="27.5703125" style="42" customWidth="1"/>
    <col min="14856" max="15105" width="9.140625" style="42"/>
    <col min="15106" max="15106" width="17.28515625" style="42" customWidth="1"/>
    <col min="15107" max="15107" width="19.140625" style="42" customWidth="1"/>
    <col min="15108" max="15108" width="17.7109375" style="42" customWidth="1"/>
    <col min="15109" max="15109" width="23.140625" style="42" customWidth="1"/>
    <col min="15110" max="15110" width="19.140625" style="42" customWidth="1"/>
    <col min="15111" max="15111" width="27.5703125" style="42" customWidth="1"/>
    <col min="15112" max="15361" width="9.140625" style="42"/>
    <col min="15362" max="15362" width="17.28515625" style="42" customWidth="1"/>
    <col min="15363" max="15363" width="19.140625" style="42" customWidth="1"/>
    <col min="15364" max="15364" width="17.7109375" style="42" customWidth="1"/>
    <col min="15365" max="15365" width="23.140625" style="42" customWidth="1"/>
    <col min="15366" max="15366" width="19.140625" style="42" customWidth="1"/>
    <col min="15367" max="15367" width="27.5703125" style="42" customWidth="1"/>
    <col min="15368" max="15617" width="9.140625" style="42"/>
    <col min="15618" max="15618" width="17.28515625" style="42" customWidth="1"/>
    <col min="15619" max="15619" width="19.140625" style="42" customWidth="1"/>
    <col min="15620" max="15620" width="17.7109375" style="42" customWidth="1"/>
    <col min="15621" max="15621" width="23.140625" style="42" customWidth="1"/>
    <col min="15622" max="15622" width="19.140625" style="42" customWidth="1"/>
    <col min="15623" max="15623" width="27.5703125" style="42" customWidth="1"/>
    <col min="15624" max="15873" width="9.140625" style="42"/>
    <col min="15874" max="15874" width="17.28515625" style="42" customWidth="1"/>
    <col min="15875" max="15875" width="19.140625" style="42" customWidth="1"/>
    <col min="15876" max="15876" width="17.7109375" style="42" customWidth="1"/>
    <col min="15877" max="15877" width="23.140625" style="42" customWidth="1"/>
    <col min="15878" max="15878" width="19.140625" style="42" customWidth="1"/>
    <col min="15879" max="15879" width="27.5703125" style="42" customWidth="1"/>
    <col min="15880" max="16129" width="9.140625" style="42"/>
    <col min="16130" max="16130" width="17.28515625" style="42" customWidth="1"/>
    <col min="16131" max="16131" width="19.140625" style="42" customWidth="1"/>
    <col min="16132" max="16132" width="17.7109375" style="42" customWidth="1"/>
    <col min="16133" max="16133" width="23.140625" style="42" customWidth="1"/>
    <col min="16134" max="16134" width="19.140625" style="42" customWidth="1"/>
    <col min="16135" max="16135" width="27.5703125" style="42" customWidth="1"/>
    <col min="16136" max="16384" width="9.140625" style="42"/>
  </cols>
  <sheetData>
    <row r="1" spans="1:7" x14ac:dyDescent="0.2">
      <c r="A1" s="482" t="s">
        <v>198</v>
      </c>
      <c r="B1" s="483"/>
      <c r="C1" s="483"/>
      <c r="D1" s="483"/>
      <c r="E1" s="484"/>
    </row>
    <row r="2" spans="1:7" x14ac:dyDescent="0.2">
      <c r="A2" s="43" t="s">
        <v>199</v>
      </c>
      <c r="B2" s="43" t="s">
        <v>200</v>
      </c>
      <c r="C2" s="43" t="s">
        <v>201</v>
      </c>
      <c r="D2" s="43" t="s">
        <v>202</v>
      </c>
      <c r="E2" s="43" t="s">
        <v>203</v>
      </c>
      <c r="F2" s="44"/>
    </row>
    <row r="3" spans="1:7" ht="57" x14ac:dyDescent="0.2">
      <c r="A3" s="45">
        <v>1</v>
      </c>
      <c r="B3" s="46" t="s">
        <v>204</v>
      </c>
      <c r="C3" s="45">
        <v>2</v>
      </c>
      <c r="D3" s="47">
        <v>20</v>
      </c>
      <c r="E3" s="48">
        <f>C3*D3</f>
        <v>40</v>
      </c>
      <c r="F3" s="49"/>
    </row>
    <row r="4" spans="1:7" x14ac:dyDescent="0.2">
      <c r="A4" s="45"/>
      <c r="D4" s="50" t="s">
        <v>205</v>
      </c>
      <c r="E4" s="51">
        <f>E3/G7</f>
        <v>3.3333333333333335</v>
      </c>
      <c r="F4" s="52"/>
    </row>
    <row r="5" spans="1:7" x14ac:dyDescent="0.2">
      <c r="A5" s="53"/>
      <c r="B5" s="53"/>
      <c r="C5" s="53"/>
      <c r="D5" s="50" t="s">
        <v>206</v>
      </c>
      <c r="E5" s="54">
        <v>1.6666666666666667</v>
      </c>
      <c r="F5" s="52"/>
    </row>
    <row r="6" spans="1:7" x14ac:dyDescent="0.2">
      <c r="G6" s="55" t="s">
        <v>207</v>
      </c>
    </row>
    <row r="7" spans="1:7" x14ac:dyDescent="0.2">
      <c r="G7" s="55">
        <v>12</v>
      </c>
    </row>
  </sheetData>
  <mergeCells count="1">
    <mergeCell ref="A1:E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K144"/>
  <sheetViews>
    <sheetView view="pageBreakPreview" topLeftCell="A8" zoomScale="150" zoomScaleNormal="100" zoomScaleSheetLayoutView="150" workbookViewId="0">
      <selection activeCell="B12" sqref="B12:G12"/>
    </sheetView>
  </sheetViews>
  <sheetFormatPr defaultRowHeight="12.75" x14ac:dyDescent="0.2"/>
  <cols>
    <col min="1" max="1" width="9.140625" style="12"/>
    <col min="2" max="2" width="11.7109375" style="12" customWidth="1"/>
    <col min="3" max="6" width="9.140625" style="12"/>
    <col min="7" max="7" width="13.42578125" style="12" customWidth="1"/>
    <col min="8" max="8" width="14.140625" style="12" customWidth="1"/>
    <col min="9" max="9" width="16.42578125" style="180" bestFit="1" customWidth="1"/>
    <col min="10" max="10" width="9.140625" style="12"/>
    <col min="11" max="11" width="14.28515625" style="12" bestFit="1" customWidth="1"/>
    <col min="12" max="12" width="9.140625" style="12"/>
    <col min="13" max="13" width="13.7109375" style="12" bestFit="1" customWidth="1"/>
    <col min="14" max="1025" width="9.140625" style="12"/>
    <col min="1026" max="16384" width="9.140625" style="30"/>
  </cols>
  <sheetData>
    <row r="1" spans="1:15" s="12" customFormat="1" ht="12.75" customHeight="1" x14ac:dyDescent="0.2">
      <c r="A1" s="479" t="s">
        <v>318</v>
      </c>
      <c r="B1" s="479"/>
      <c r="C1" s="479"/>
      <c r="D1" s="479"/>
      <c r="E1" s="479"/>
      <c r="F1" s="479"/>
      <c r="G1" s="479"/>
      <c r="H1" s="479"/>
      <c r="I1" s="479"/>
      <c r="J1" s="30"/>
      <c r="K1" s="30"/>
      <c r="L1" s="30"/>
      <c r="M1" s="30"/>
      <c r="O1" s="30"/>
    </row>
    <row r="2" spans="1:15" s="12" customFormat="1" ht="12.75" customHeight="1" x14ac:dyDescent="0.2">
      <c r="A2" s="479" t="s">
        <v>319</v>
      </c>
      <c r="B2" s="479"/>
      <c r="C2" s="479"/>
      <c r="D2" s="479"/>
      <c r="E2" s="479"/>
      <c r="F2" s="479"/>
      <c r="G2" s="479"/>
      <c r="H2" s="479"/>
      <c r="I2" s="479"/>
      <c r="J2" s="30"/>
      <c r="K2" s="30"/>
      <c r="L2" s="30"/>
      <c r="M2" s="30"/>
      <c r="O2" s="30"/>
    </row>
    <row r="3" spans="1:15" s="12" customFormat="1" ht="12.75" customHeight="1" x14ac:dyDescent="0.2">
      <c r="A3" s="479" t="s">
        <v>320</v>
      </c>
      <c r="B3" s="479"/>
      <c r="C3" s="479"/>
      <c r="D3" s="479"/>
      <c r="E3" s="479"/>
      <c r="F3" s="479"/>
      <c r="G3" s="479"/>
      <c r="H3" s="479"/>
      <c r="I3" s="479"/>
      <c r="J3" s="30"/>
      <c r="K3" s="30"/>
      <c r="L3" s="30"/>
      <c r="M3" s="30"/>
      <c r="O3" s="30"/>
    </row>
    <row r="4" spans="1:15" s="12" customFormat="1" ht="12.75" customHeight="1" x14ac:dyDescent="0.2">
      <c r="A4" s="470"/>
      <c r="B4" s="470"/>
      <c r="C4" s="470"/>
      <c r="D4" s="470"/>
      <c r="E4" s="470"/>
      <c r="F4" s="470"/>
      <c r="G4" s="470"/>
      <c r="H4" s="470"/>
      <c r="I4" s="470"/>
      <c r="J4" s="30"/>
      <c r="K4" s="30"/>
      <c r="L4" s="30"/>
      <c r="M4" s="30"/>
      <c r="O4" s="30"/>
    </row>
    <row r="5" spans="1:15" s="12" customFormat="1" ht="12.75" customHeight="1" x14ac:dyDescent="0.2">
      <c r="A5" s="125"/>
      <c r="B5" s="125"/>
      <c r="C5" s="125"/>
      <c r="D5" s="125"/>
      <c r="E5" s="125"/>
      <c r="F5" s="125"/>
      <c r="G5" s="125"/>
      <c r="H5" s="125"/>
      <c r="I5" s="182"/>
      <c r="J5" s="30"/>
      <c r="K5" s="30"/>
      <c r="L5" s="30"/>
      <c r="M5" s="30"/>
      <c r="O5" s="30"/>
    </row>
    <row r="6" spans="1:15" s="12" customFormat="1" ht="12.75" customHeight="1" x14ac:dyDescent="0.2">
      <c r="A6" s="480" t="s">
        <v>347</v>
      </c>
      <c r="B6" s="480"/>
      <c r="C6" s="480"/>
      <c r="D6" s="480"/>
      <c r="E6" s="480"/>
      <c r="F6" s="480"/>
      <c r="G6" s="480"/>
      <c r="H6" s="480"/>
      <c r="I6" s="480"/>
      <c r="J6" s="30"/>
      <c r="K6" s="30"/>
      <c r="L6" s="30"/>
      <c r="M6" s="30"/>
      <c r="O6" s="30"/>
    </row>
    <row r="7" spans="1:15" s="12" customFormat="1" ht="12.75" customHeight="1" x14ac:dyDescent="0.2">
      <c r="A7" s="134"/>
      <c r="B7" s="134"/>
      <c r="C7" s="134"/>
      <c r="D7" s="134"/>
      <c r="E7" s="134"/>
      <c r="F7" s="134"/>
      <c r="G7" s="134"/>
      <c r="H7" s="134"/>
      <c r="I7" s="147"/>
      <c r="J7" s="30"/>
      <c r="K7" s="30"/>
      <c r="L7" s="30"/>
      <c r="M7" s="30"/>
      <c r="O7" s="30"/>
    </row>
    <row r="8" spans="1:15" s="12" customFormat="1" x14ac:dyDescent="0.2">
      <c r="A8" s="492" t="s">
        <v>481</v>
      </c>
      <c r="B8" s="492"/>
      <c r="C8" s="492"/>
      <c r="D8" s="492"/>
      <c r="E8" s="492"/>
      <c r="F8" s="492"/>
      <c r="G8" s="492"/>
      <c r="H8" s="492"/>
      <c r="I8" s="492"/>
      <c r="J8" s="30"/>
      <c r="K8" s="30"/>
      <c r="L8" s="30"/>
      <c r="M8" s="30"/>
      <c r="O8" s="30"/>
    </row>
    <row r="9" spans="1:15" s="12" customFormat="1" x14ac:dyDescent="0.2">
      <c r="A9" s="1"/>
      <c r="B9" s="1"/>
      <c r="C9" s="1"/>
      <c r="D9" s="1"/>
      <c r="E9" s="1"/>
      <c r="F9" s="1"/>
      <c r="G9" s="1"/>
      <c r="H9" s="1"/>
      <c r="I9" s="148"/>
      <c r="J9" s="30"/>
      <c r="K9" s="30"/>
      <c r="L9" s="30"/>
      <c r="M9" s="30"/>
      <c r="O9" s="30"/>
    </row>
    <row r="10" spans="1:15" s="12" customFormat="1" x14ac:dyDescent="0.2">
      <c r="A10" s="473" t="s">
        <v>0</v>
      </c>
      <c r="B10" s="473"/>
      <c r="C10" s="473"/>
      <c r="D10" s="473"/>
      <c r="E10" s="473"/>
      <c r="F10" s="473"/>
      <c r="G10" s="473"/>
      <c r="H10" s="473"/>
      <c r="I10" s="473"/>
      <c r="J10" s="30"/>
      <c r="K10" s="30"/>
      <c r="L10" s="30"/>
      <c r="M10" s="30"/>
      <c r="O10" s="30"/>
    </row>
    <row r="11" spans="1:15" s="12" customFormat="1" x14ac:dyDescent="0.2">
      <c r="A11" s="124" t="s">
        <v>1</v>
      </c>
      <c r="B11" s="428" t="s">
        <v>315</v>
      </c>
      <c r="C11" s="428"/>
      <c r="D11" s="428"/>
      <c r="E11" s="428"/>
      <c r="F11" s="428"/>
      <c r="G11" s="428"/>
      <c r="H11" s="478" t="s">
        <v>463</v>
      </c>
      <c r="I11" s="478"/>
      <c r="J11" s="30"/>
      <c r="K11" s="30"/>
      <c r="L11" s="30"/>
      <c r="M11" s="30"/>
      <c r="O11" s="30"/>
    </row>
    <row r="12" spans="1:15" s="12" customFormat="1" x14ac:dyDescent="0.2">
      <c r="A12" s="124" t="s">
        <v>2</v>
      </c>
      <c r="B12" s="428" t="s">
        <v>317</v>
      </c>
      <c r="C12" s="428"/>
      <c r="D12" s="428"/>
      <c r="E12" s="428"/>
      <c r="F12" s="428"/>
      <c r="G12" s="428"/>
      <c r="H12" s="471" t="s">
        <v>118</v>
      </c>
      <c r="I12" s="471"/>
      <c r="J12" s="30"/>
      <c r="K12" s="30"/>
      <c r="L12" s="30"/>
      <c r="M12" s="30"/>
      <c r="O12" s="30"/>
    </row>
    <row r="13" spans="1:15" s="12" customFormat="1" x14ac:dyDescent="0.2">
      <c r="A13" s="124" t="s">
        <v>4</v>
      </c>
      <c r="B13" s="428" t="s">
        <v>5</v>
      </c>
      <c r="C13" s="428"/>
      <c r="D13" s="428"/>
      <c r="E13" s="428"/>
      <c r="F13" s="428"/>
      <c r="G13" s="428"/>
      <c r="H13" s="481" t="s">
        <v>480</v>
      </c>
      <c r="I13" s="481"/>
      <c r="J13" s="30"/>
      <c r="K13" s="30"/>
      <c r="L13" s="30"/>
      <c r="M13" s="30"/>
      <c r="O13" s="30"/>
    </row>
    <row r="14" spans="1:15" s="12" customFormat="1" x14ac:dyDescent="0.2">
      <c r="A14" s="124" t="s">
        <v>6</v>
      </c>
      <c r="B14" s="428" t="s">
        <v>7</v>
      </c>
      <c r="C14" s="428"/>
      <c r="D14" s="428"/>
      <c r="E14" s="428"/>
      <c r="F14" s="428"/>
      <c r="G14" s="428"/>
      <c r="H14" s="471">
        <v>12</v>
      </c>
      <c r="I14" s="471"/>
      <c r="J14" s="30"/>
      <c r="K14" s="30"/>
      <c r="L14" s="30"/>
      <c r="M14" s="30"/>
      <c r="O14" s="30"/>
    </row>
    <row r="15" spans="1:15" s="12" customFormat="1" x14ac:dyDescent="0.2">
      <c r="A15" s="125"/>
      <c r="B15" s="130"/>
      <c r="C15" s="130"/>
      <c r="D15" s="130"/>
      <c r="E15" s="130"/>
      <c r="F15" s="130"/>
      <c r="G15" s="130"/>
      <c r="H15" s="125"/>
      <c r="I15" s="182"/>
      <c r="J15" s="30"/>
      <c r="K15" s="30"/>
      <c r="L15" s="30"/>
      <c r="M15" s="30"/>
      <c r="O15" s="30"/>
    </row>
    <row r="16" spans="1:15" s="12" customFormat="1" x14ac:dyDescent="0.2">
      <c r="A16" s="473" t="s">
        <v>8</v>
      </c>
      <c r="B16" s="473"/>
      <c r="C16" s="473"/>
      <c r="D16" s="473"/>
      <c r="E16" s="473"/>
      <c r="F16" s="473"/>
      <c r="G16" s="473"/>
      <c r="H16" s="473"/>
      <c r="I16" s="473"/>
      <c r="J16" s="30"/>
      <c r="K16" s="30"/>
      <c r="L16" s="30"/>
      <c r="M16" s="30"/>
      <c r="O16" s="30"/>
    </row>
    <row r="17" spans="1:15" s="12" customFormat="1" x14ac:dyDescent="0.2">
      <c r="A17" s="471" t="s">
        <v>9</v>
      </c>
      <c r="B17" s="471"/>
      <c r="C17" s="471" t="s">
        <v>10</v>
      </c>
      <c r="D17" s="471"/>
      <c r="E17" s="471" t="s">
        <v>11</v>
      </c>
      <c r="F17" s="471"/>
      <c r="G17" s="471"/>
      <c r="H17" s="471"/>
      <c r="I17" s="471"/>
      <c r="J17" s="30"/>
      <c r="K17" s="30"/>
      <c r="L17" s="30"/>
      <c r="M17" s="30"/>
      <c r="O17" s="30"/>
    </row>
    <row r="18" spans="1:15" s="12" customFormat="1" ht="31.5" customHeight="1" x14ac:dyDescent="0.2">
      <c r="A18" s="474" t="s">
        <v>466</v>
      </c>
      <c r="B18" s="475"/>
      <c r="C18" s="477" t="s">
        <v>366</v>
      </c>
      <c r="D18" s="477"/>
      <c r="E18" s="477">
        <v>24</v>
      </c>
      <c r="F18" s="477"/>
      <c r="G18" s="477"/>
      <c r="H18" s="477"/>
      <c r="I18" s="477"/>
      <c r="J18" s="30"/>
      <c r="K18" s="30"/>
      <c r="L18" s="30"/>
      <c r="M18" s="30"/>
      <c r="O18" s="30"/>
    </row>
    <row r="19" spans="1:15" s="12" customFormat="1" x14ac:dyDescent="0.2">
      <c r="A19" s="125"/>
      <c r="B19" s="130"/>
      <c r="C19" s="130"/>
      <c r="D19" s="130"/>
      <c r="E19" s="130"/>
      <c r="F19" s="130"/>
      <c r="G19" s="130"/>
      <c r="H19" s="125"/>
      <c r="I19" s="182"/>
      <c r="J19" s="30"/>
      <c r="K19" s="30"/>
      <c r="L19" s="30"/>
      <c r="M19" s="30"/>
      <c r="O19" s="30"/>
    </row>
    <row r="20" spans="1:15" s="12" customFormat="1" x14ac:dyDescent="0.2">
      <c r="A20" s="473" t="s">
        <v>330</v>
      </c>
      <c r="B20" s="473"/>
      <c r="C20" s="473"/>
      <c r="D20" s="473"/>
      <c r="E20" s="473"/>
      <c r="F20" s="473"/>
      <c r="G20" s="473"/>
      <c r="H20" s="473"/>
      <c r="I20" s="473"/>
      <c r="J20" s="30"/>
      <c r="K20" s="30"/>
      <c r="L20" s="30"/>
      <c r="M20" s="30"/>
      <c r="O20" s="30"/>
    </row>
    <row r="21" spans="1:15" s="12" customFormat="1" ht="24.75" customHeight="1" x14ac:dyDescent="0.2">
      <c r="A21" s="124">
        <v>1</v>
      </c>
      <c r="B21" s="428" t="s">
        <v>12</v>
      </c>
      <c r="C21" s="428"/>
      <c r="D21" s="428"/>
      <c r="E21" s="428"/>
      <c r="F21" s="428"/>
      <c r="G21" s="428"/>
      <c r="H21" s="468" t="str">
        <f>A18</f>
        <v>VIGILANTE NOTURNO</v>
      </c>
      <c r="I21" s="468"/>
      <c r="J21" s="30"/>
      <c r="K21" s="30"/>
      <c r="L21" s="30"/>
      <c r="M21" s="30"/>
      <c r="O21" s="30"/>
    </row>
    <row r="22" spans="1:15" s="12" customFormat="1" x14ac:dyDescent="0.2">
      <c r="A22" s="124">
        <v>2</v>
      </c>
      <c r="B22" s="428" t="s">
        <v>13</v>
      </c>
      <c r="C22" s="428"/>
      <c r="D22" s="428"/>
      <c r="E22" s="428"/>
      <c r="F22" s="428"/>
      <c r="G22" s="428"/>
      <c r="H22" s="471"/>
      <c r="I22" s="471"/>
      <c r="J22" s="30"/>
      <c r="K22" s="30"/>
      <c r="L22" s="30"/>
      <c r="M22" s="30"/>
      <c r="O22" s="30"/>
    </row>
    <row r="23" spans="1:15" s="12" customFormat="1" x14ac:dyDescent="0.2">
      <c r="A23" s="124">
        <v>3</v>
      </c>
      <c r="B23" s="428" t="s">
        <v>326</v>
      </c>
      <c r="C23" s="428"/>
      <c r="D23" s="428"/>
      <c r="E23" s="428"/>
      <c r="F23" s="428"/>
      <c r="G23" s="428"/>
      <c r="H23" s="485">
        <v>2192.65</v>
      </c>
      <c r="I23" s="485"/>
      <c r="J23" s="30"/>
      <c r="K23" s="132"/>
      <c r="L23" s="30"/>
      <c r="M23" s="30"/>
      <c r="O23" s="30"/>
    </row>
    <row r="24" spans="1:15" s="12" customFormat="1" ht="15" customHeight="1" x14ac:dyDescent="0.2">
      <c r="A24" s="124">
        <v>4</v>
      </c>
      <c r="B24" s="428" t="s">
        <v>14</v>
      </c>
      <c r="C24" s="428"/>
      <c r="D24" s="428"/>
      <c r="E24" s="428"/>
      <c r="F24" s="428"/>
      <c r="G24" s="428"/>
      <c r="H24" s="468" t="str">
        <f>H21</f>
        <v>VIGILANTE NOTURNO</v>
      </c>
      <c r="I24" s="468"/>
      <c r="J24" s="30"/>
      <c r="K24" s="30"/>
      <c r="L24" s="30"/>
      <c r="M24" s="30"/>
      <c r="O24" s="30"/>
    </row>
    <row r="25" spans="1:15" s="12" customFormat="1" x14ac:dyDescent="0.2">
      <c r="A25" s="124">
        <v>5</v>
      </c>
      <c r="B25" s="428" t="s">
        <v>15</v>
      </c>
      <c r="C25" s="428"/>
      <c r="D25" s="428"/>
      <c r="E25" s="428"/>
      <c r="F25" s="428"/>
      <c r="G25" s="428"/>
      <c r="H25" s="469">
        <v>43466</v>
      </c>
      <c r="I25" s="469"/>
      <c r="J25" s="30"/>
      <c r="K25" s="30"/>
      <c r="L25" s="30"/>
      <c r="M25" s="30"/>
      <c r="O25" s="30"/>
    </row>
    <row r="26" spans="1:15" s="12" customFormat="1" x14ac:dyDescent="0.2">
      <c r="A26" s="470"/>
      <c r="B26" s="470"/>
      <c r="C26" s="470"/>
      <c r="D26" s="470"/>
      <c r="E26" s="470"/>
      <c r="F26" s="470"/>
      <c r="G26" s="470"/>
      <c r="H26" s="470"/>
      <c r="I26" s="470"/>
      <c r="J26" s="30"/>
      <c r="K26" s="30"/>
      <c r="L26" s="30"/>
      <c r="M26" s="30"/>
      <c r="O26" s="30"/>
    </row>
    <row r="27" spans="1:15" s="12" customFormat="1" x14ac:dyDescent="0.2">
      <c r="A27" s="431" t="s">
        <v>16</v>
      </c>
      <c r="B27" s="431"/>
      <c r="C27" s="431"/>
      <c r="D27" s="431"/>
      <c r="E27" s="431"/>
      <c r="F27" s="431"/>
      <c r="G27" s="431"/>
      <c r="H27" s="431"/>
      <c r="I27" s="431"/>
      <c r="J27" s="30"/>
      <c r="K27" s="30"/>
      <c r="L27" s="30"/>
      <c r="M27" s="30"/>
      <c r="O27" s="30"/>
    </row>
    <row r="28" spans="1:15" s="12" customFormat="1" x14ac:dyDescent="0.2">
      <c r="A28" s="126">
        <v>1</v>
      </c>
      <c r="B28" s="427" t="s">
        <v>17</v>
      </c>
      <c r="C28" s="427"/>
      <c r="D28" s="427"/>
      <c r="E28" s="427"/>
      <c r="F28" s="427"/>
      <c r="G28" s="427"/>
      <c r="H28" s="126" t="s">
        <v>18</v>
      </c>
      <c r="I28" s="150" t="s">
        <v>19</v>
      </c>
      <c r="J28" s="30"/>
      <c r="K28" s="365"/>
      <c r="M28" s="30"/>
      <c r="O28" s="30"/>
    </row>
    <row r="29" spans="1:15" s="12" customFormat="1" x14ac:dyDescent="0.2">
      <c r="A29" s="126" t="s">
        <v>1</v>
      </c>
      <c r="B29" s="428" t="s">
        <v>20</v>
      </c>
      <c r="C29" s="428"/>
      <c r="D29" s="428"/>
      <c r="E29" s="428"/>
      <c r="F29" s="428"/>
      <c r="G29" s="428"/>
      <c r="H29" s="128"/>
      <c r="I29" s="152">
        <f>H23</f>
        <v>2192.65</v>
      </c>
      <c r="J29" s="30"/>
      <c r="K29" s="30"/>
      <c r="L29" s="30"/>
      <c r="M29" s="30"/>
      <c r="O29" s="30"/>
    </row>
    <row r="30" spans="1:15" s="12" customFormat="1" x14ac:dyDescent="0.2">
      <c r="A30" s="126" t="s">
        <v>2</v>
      </c>
      <c r="B30" s="467" t="s">
        <v>401</v>
      </c>
      <c r="C30" s="467"/>
      <c r="D30" s="467"/>
      <c r="E30" s="467"/>
      <c r="F30" s="467"/>
      <c r="G30" s="467"/>
      <c r="H30" s="356">
        <v>0.3</v>
      </c>
      <c r="I30" s="287">
        <f>I29*H30</f>
        <v>657.79499999999996</v>
      </c>
      <c r="J30" s="30"/>
      <c r="K30" s="30"/>
      <c r="L30" s="30"/>
      <c r="M30" s="30"/>
      <c r="O30" s="30"/>
    </row>
    <row r="31" spans="1:15" s="12" customFormat="1" x14ac:dyDescent="0.2">
      <c r="A31" s="126" t="s">
        <v>6</v>
      </c>
      <c r="B31" s="467" t="s">
        <v>22</v>
      </c>
      <c r="C31" s="467"/>
      <c r="D31" s="467"/>
      <c r="E31" s="467"/>
      <c r="F31" s="467"/>
      <c r="G31" s="467"/>
      <c r="H31" s="356">
        <v>0.2</v>
      </c>
      <c r="I31" s="287">
        <f>(I29+I30)/220*8*15*H31</f>
        <v>310.95763636363642</v>
      </c>
      <c r="J31" s="30"/>
      <c r="L31" s="30"/>
      <c r="M31" s="30"/>
      <c r="O31" s="30"/>
    </row>
    <row r="32" spans="1:15" s="12" customFormat="1" x14ac:dyDescent="0.2">
      <c r="A32" s="126" t="s">
        <v>23</v>
      </c>
      <c r="B32" s="428" t="s">
        <v>24</v>
      </c>
      <c r="C32" s="428"/>
      <c r="D32" s="428"/>
      <c r="E32" s="428"/>
      <c r="F32" s="428"/>
      <c r="G32" s="428"/>
      <c r="H32" s="2"/>
      <c r="I32" s="152">
        <v>0</v>
      </c>
      <c r="J32" s="30"/>
      <c r="K32" s="30"/>
      <c r="L32" s="30"/>
      <c r="M32" s="30"/>
      <c r="O32" s="30"/>
    </row>
    <row r="33" spans="1:15" s="12" customFormat="1" x14ac:dyDescent="0.2">
      <c r="A33" s="126" t="s">
        <v>25</v>
      </c>
      <c r="B33" s="428" t="s">
        <v>26</v>
      </c>
      <c r="C33" s="428"/>
      <c r="D33" s="428"/>
      <c r="E33" s="428"/>
      <c r="F33" s="428"/>
      <c r="G33" s="428"/>
      <c r="H33" s="2"/>
      <c r="I33" s="152">
        <v>0</v>
      </c>
      <c r="J33" s="30"/>
      <c r="K33" s="30"/>
      <c r="L33" s="30"/>
      <c r="M33" s="30"/>
      <c r="O33" s="30"/>
    </row>
    <row r="34" spans="1:15" s="12" customFormat="1" x14ac:dyDescent="0.2">
      <c r="A34" s="427" t="s">
        <v>27</v>
      </c>
      <c r="B34" s="427"/>
      <c r="C34" s="427"/>
      <c r="D34" s="427"/>
      <c r="E34" s="427"/>
      <c r="F34" s="427"/>
      <c r="G34" s="427"/>
      <c r="H34" s="427"/>
      <c r="I34" s="154">
        <f>TRUNC(SUM(I29:I33),2)</f>
        <v>3161.4</v>
      </c>
      <c r="J34" s="30"/>
      <c r="K34" s="30"/>
      <c r="L34" s="30"/>
      <c r="M34" s="30"/>
      <c r="O34" s="30"/>
    </row>
    <row r="35" spans="1:15" s="12" customFormat="1" x14ac:dyDescent="0.2">
      <c r="A35" s="463"/>
      <c r="B35" s="463"/>
      <c r="C35" s="463"/>
      <c r="D35" s="463"/>
      <c r="E35" s="463"/>
      <c r="F35" s="463"/>
      <c r="G35" s="463"/>
      <c r="H35" s="463"/>
      <c r="I35" s="463"/>
      <c r="J35" s="30"/>
      <c r="K35" s="30"/>
      <c r="L35" s="30"/>
      <c r="M35" s="30"/>
      <c r="O35" s="30"/>
    </row>
    <row r="36" spans="1:15" s="12" customFormat="1" x14ac:dyDescent="0.2">
      <c r="A36" s="431" t="s">
        <v>28</v>
      </c>
      <c r="B36" s="431"/>
      <c r="C36" s="431"/>
      <c r="D36" s="431"/>
      <c r="E36" s="431"/>
      <c r="F36" s="431"/>
      <c r="G36" s="431"/>
      <c r="H36" s="431"/>
      <c r="I36" s="431"/>
      <c r="J36" s="3"/>
      <c r="K36" s="30"/>
      <c r="L36" s="30"/>
      <c r="M36" s="30"/>
      <c r="O36" s="30"/>
    </row>
    <row r="37" spans="1:15" s="12" customFormat="1" x14ac:dyDescent="0.2">
      <c r="A37" s="427" t="s">
        <v>29</v>
      </c>
      <c r="B37" s="427"/>
      <c r="C37" s="427"/>
      <c r="D37" s="427"/>
      <c r="E37" s="427"/>
      <c r="F37" s="427"/>
      <c r="G37" s="427"/>
      <c r="H37" s="126" t="s">
        <v>18</v>
      </c>
      <c r="I37" s="150" t="s">
        <v>19</v>
      </c>
      <c r="J37" s="3"/>
      <c r="K37" s="30"/>
      <c r="L37" s="30"/>
      <c r="M37" s="30"/>
      <c r="O37" s="30"/>
    </row>
    <row r="38" spans="1:15" s="12" customFormat="1" x14ac:dyDescent="0.2">
      <c r="A38" s="126" t="s">
        <v>1</v>
      </c>
      <c r="B38" s="428" t="s">
        <v>30</v>
      </c>
      <c r="C38" s="428"/>
      <c r="D38" s="428"/>
      <c r="E38" s="428"/>
      <c r="F38" s="428"/>
      <c r="G38" s="428"/>
      <c r="H38" s="4">
        <f>1/12</f>
        <v>8.3333333333333329E-2</v>
      </c>
      <c r="I38" s="160">
        <f>$I$34*H38</f>
        <v>263.45</v>
      </c>
      <c r="J38" s="3"/>
      <c r="K38" s="30"/>
      <c r="L38" s="30"/>
      <c r="M38" s="30"/>
      <c r="O38" s="30"/>
    </row>
    <row r="39" spans="1:15" s="12" customFormat="1" x14ac:dyDescent="0.2">
      <c r="A39" s="126" t="s">
        <v>2</v>
      </c>
      <c r="B39" s="428" t="s">
        <v>31</v>
      </c>
      <c r="C39" s="428"/>
      <c r="D39" s="428"/>
      <c r="E39" s="428"/>
      <c r="F39" s="428"/>
      <c r="G39" s="428"/>
      <c r="H39" s="4">
        <v>0.121</v>
      </c>
      <c r="I39" s="160">
        <f>H39*I34</f>
        <v>382.52940000000001</v>
      </c>
      <c r="J39" s="3"/>
      <c r="K39" s="30"/>
      <c r="L39" s="30"/>
      <c r="M39" s="30"/>
      <c r="O39" s="30"/>
    </row>
    <row r="40" spans="1:15" s="12" customFormat="1" x14ac:dyDescent="0.2">
      <c r="A40" s="304" t="s">
        <v>4</v>
      </c>
      <c r="B40" s="464" t="s">
        <v>394</v>
      </c>
      <c r="C40" s="465"/>
      <c r="D40" s="465"/>
      <c r="E40" s="465"/>
      <c r="F40" s="465"/>
      <c r="G40" s="466"/>
      <c r="H40" s="305">
        <f>(H38+H39)*H57</f>
        <v>8.1324666666666656E-2</v>
      </c>
      <c r="I40" s="306">
        <f>ROUND(((I38+I39)*H57),2)</f>
        <v>257.10000000000002</v>
      </c>
      <c r="J40" s="3"/>
      <c r="K40" s="30"/>
      <c r="L40" s="30"/>
      <c r="M40" s="30"/>
      <c r="O40" s="30"/>
    </row>
    <row r="41" spans="1:15" s="12" customFormat="1" x14ac:dyDescent="0.2">
      <c r="A41" s="126"/>
      <c r="B41" s="460" t="s">
        <v>117</v>
      </c>
      <c r="C41" s="461"/>
      <c r="D41" s="461"/>
      <c r="E41" s="461"/>
      <c r="F41" s="461"/>
      <c r="G41" s="462"/>
      <c r="H41" s="41">
        <f>SUM(H38:H40)</f>
        <v>0.28565799999999997</v>
      </c>
      <c r="I41" s="158">
        <f>ROUND(SUM(I38:I40),2)</f>
        <v>903.08</v>
      </c>
      <c r="J41" s="3"/>
      <c r="K41" s="30"/>
      <c r="L41" s="30"/>
      <c r="M41" s="30"/>
      <c r="O41" s="30"/>
    </row>
    <row r="42" spans="1:15" s="12" customFormat="1" ht="30" hidden="1" customHeight="1" x14ac:dyDescent="0.2">
      <c r="A42" s="448" t="s">
        <v>33</v>
      </c>
      <c r="B42" s="448"/>
      <c r="C42" s="448"/>
      <c r="D42" s="448"/>
      <c r="E42" s="448"/>
      <c r="F42" s="448"/>
      <c r="G42" s="448"/>
      <c r="H42" s="448"/>
      <c r="I42" s="448"/>
      <c r="J42" s="3"/>
      <c r="K42" s="30"/>
      <c r="L42" s="30"/>
      <c r="M42" s="30"/>
      <c r="O42" s="30"/>
    </row>
    <row r="43" spans="1:15" s="12" customFormat="1" ht="30" hidden="1" customHeight="1" x14ac:dyDescent="0.2">
      <c r="A43" s="449" t="s">
        <v>34</v>
      </c>
      <c r="B43" s="449"/>
      <c r="C43" s="449"/>
      <c r="D43" s="449"/>
      <c r="E43" s="449"/>
      <c r="F43" s="449"/>
      <c r="G43" s="449"/>
      <c r="H43" s="449"/>
      <c r="I43" s="449"/>
      <c r="J43" s="3"/>
      <c r="K43" s="30"/>
      <c r="L43" s="30"/>
      <c r="M43" s="30"/>
      <c r="O43" s="30"/>
    </row>
    <row r="44" spans="1:15" s="12" customFormat="1" ht="39.950000000000003" hidden="1" customHeight="1" x14ac:dyDescent="0.2">
      <c r="A44" s="449" t="s">
        <v>35</v>
      </c>
      <c r="B44" s="449"/>
      <c r="C44" s="449"/>
      <c r="D44" s="449"/>
      <c r="E44" s="449"/>
      <c r="F44" s="449"/>
      <c r="G44" s="449"/>
      <c r="H44" s="449"/>
      <c r="I44" s="449"/>
      <c r="J44" s="3"/>
      <c r="K44" s="30"/>
      <c r="L44" s="30"/>
      <c r="M44" s="30"/>
      <c r="O44" s="30"/>
    </row>
    <row r="45" spans="1:15" s="12" customFormat="1" ht="39.950000000000003" hidden="1" customHeight="1" x14ac:dyDescent="0.2">
      <c r="A45" s="449" t="s">
        <v>36</v>
      </c>
      <c r="B45" s="449"/>
      <c r="C45" s="449"/>
      <c r="D45" s="449"/>
      <c r="E45" s="449"/>
      <c r="F45" s="449"/>
      <c r="G45" s="449"/>
      <c r="H45" s="449"/>
      <c r="I45" s="449"/>
      <c r="J45" s="3"/>
      <c r="K45" s="30"/>
      <c r="L45" s="30"/>
      <c r="M45" s="30"/>
      <c r="O45" s="30"/>
    </row>
    <row r="46" spans="1:15" s="12" customFormat="1" x14ac:dyDescent="0.2">
      <c r="A46" s="457"/>
      <c r="B46" s="457"/>
      <c r="C46" s="457"/>
      <c r="D46" s="457"/>
      <c r="E46" s="457"/>
      <c r="F46" s="457"/>
      <c r="G46" s="457"/>
      <c r="H46" s="457"/>
      <c r="I46" s="457"/>
      <c r="J46" s="6"/>
      <c r="K46" s="7"/>
      <c r="L46" s="30"/>
      <c r="M46" s="30"/>
      <c r="O46" s="30"/>
    </row>
    <row r="47" spans="1:15" s="12" customFormat="1" x14ac:dyDescent="0.2">
      <c r="A47" s="451" t="s">
        <v>37</v>
      </c>
      <c r="B47" s="451"/>
      <c r="C47" s="451"/>
      <c r="D47" s="451"/>
      <c r="E47" s="451"/>
      <c r="F47" s="451"/>
      <c r="G47" s="451"/>
      <c r="H47" s="127" t="s">
        <v>18</v>
      </c>
      <c r="I47" s="159" t="s">
        <v>19</v>
      </c>
      <c r="J47" s="3"/>
      <c r="K47" s="30"/>
      <c r="L47" s="30"/>
      <c r="M47" s="30"/>
      <c r="O47" s="30"/>
    </row>
    <row r="48" spans="1:15" s="12" customFormat="1" x14ac:dyDescent="0.2">
      <c r="A48" s="126" t="s">
        <v>1</v>
      </c>
      <c r="B48" s="428" t="s">
        <v>38</v>
      </c>
      <c r="C48" s="428"/>
      <c r="D48" s="428"/>
      <c r="E48" s="428"/>
      <c r="F48" s="428"/>
      <c r="G48" s="428"/>
      <c r="H48" s="4">
        <v>0.2</v>
      </c>
      <c r="I48" s="160">
        <f>($I$34+I41)*H48</f>
        <v>812.89600000000007</v>
      </c>
      <c r="J48" s="3"/>
      <c r="K48" s="30"/>
      <c r="L48" s="30"/>
      <c r="M48" s="30"/>
      <c r="O48" s="30"/>
    </row>
    <row r="49" spans="1:15" s="12" customFormat="1" x14ac:dyDescent="0.2">
      <c r="A49" s="126" t="s">
        <v>2</v>
      </c>
      <c r="B49" s="428" t="s">
        <v>39</v>
      </c>
      <c r="C49" s="428"/>
      <c r="D49" s="428"/>
      <c r="E49" s="428"/>
      <c r="F49" s="428"/>
      <c r="G49" s="428"/>
      <c r="H49" s="4">
        <v>2.5000000000000001E-2</v>
      </c>
      <c r="I49" s="160">
        <f>($I$34+I41)*H49</f>
        <v>101.61200000000001</v>
      </c>
      <c r="J49" s="3"/>
      <c r="K49" s="30"/>
      <c r="L49" s="30"/>
      <c r="M49" s="30"/>
      <c r="O49" s="30"/>
    </row>
    <row r="50" spans="1:15" s="12" customFormat="1" x14ac:dyDescent="0.2">
      <c r="A50" s="126" t="s">
        <v>4</v>
      </c>
      <c r="B50" s="486" t="s">
        <v>40</v>
      </c>
      <c r="C50" s="486"/>
      <c r="D50" s="486"/>
      <c r="E50" s="486"/>
      <c r="F50" s="486"/>
      <c r="G50" s="486"/>
      <c r="H50" s="4">
        <v>0.03</v>
      </c>
      <c r="I50" s="487">
        <f>($I$34+I41)*H50*H51</f>
        <v>243.86879999999999</v>
      </c>
      <c r="J50" s="31">
        <f>H50*H51</f>
        <v>0.06</v>
      </c>
      <c r="K50" s="8"/>
      <c r="L50" s="30"/>
      <c r="M50" s="30"/>
      <c r="O50" s="30"/>
    </row>
    <row r="51" spans="1:15" s="12" customFormat="1" x14ac:dyDescent="0.2">
      <c r="A51" s="126"/>
      <c r="B51" s="486"/>
      <c r="C51" s="486"/>
      <c r="D51" s="486"/>
      <c r="E51" s="486"/>
      <c r="F51" s="486"/>
      <c r="G51" s="486"/>
      <c r="H51" s="10">
        <v>2</v>
      </c>
      <c r="I51" s="487"/>
      <c r="J51" s="3"/>
      <c r="K51" s="8"/>
      <c r="L51" s="30"/>
      <c r="M51" s="30"/>
      <c r="O51" s="30"/>
    </row>
    <row r="52" spans="1:15" s="12" customFormat="1" x14ac:dyDescent="0.2">
      <c r="A52" s="126" t="s">
        <v>6</v>
      </c>
      <c r="B52" s="428" t="s">
        <v>41</v>
      </c>
      <c r="C52" s="428"/>
      <c r="D52" s="428"/>
      <c r="E52" s="428"/>
      <c r="F52" s="428"/>
      <c r="G52" s="428"/>
      <c r="H52" s="4">
        <v>1.4999999999999999E-2</v>
      </c>
      <c r="I52" s="160">
        <f>($I$34+I41)*H52</f>
        <v>60.967199999999998</v>
      </c>
      <c r="J52" s="3"/>
      <c r="K52" s="30"/>
      <c r="L52" s="30"/>
      <c r="M52" s="30"/>
      <c r="O52" s="30"/>
    </row>
    <row r="53" spans="1:15" s="12" customFormat="1" x14ac:dyDescent="0.2">
      <c r="A53" s="126" t="s">
        <v>23</v>
      </c>
      <c r="B53" s="428" t="s">
        <v>42</v>
      </c>
      <c r="C53" s="428"/>
      <c r="D53" s="428"/>
      <c r="E53" s="428"/>
      <c r="F53" s="428"/>
      <c r="G53" s="428"/>
      <c r="H53" s="4">
        <v>0.01</v>
      </c>
      <c r="I53" s="160">
        <f>($I$34+I41)*H53</f>
        <v>40.644800000000004</v>
      </c>
      <c r="J53" s="3"/>
      <c r="K53" s="30"/>
      <c r="L53" s="30"/>
      <c r="M53" s="30"/>
      <c r="O53" s="30"/>
    </row>
    <row r="54" spans="1:15" s="12" customFormat="1" x14ac:dyDescent="0.2">
      <c r="A54" s="126" t="s">
        <v>25</v>
      </c>
      <c r="B54" s="428" t="s">
        <v>43</v>
      </c>
      <c r="C54" s="428"/>
      <c r="D54" s="428"/>
      <c r="E54" s="428"/>
      <c r="F54" s="428"/>
      <c r="G54" s="428"/>
      <c r="H54" s="4">
        <v>6.0000000000000001E-3</v>
      </c>
      <c r="I54" s="160">
        <f>($I$34+I41)*H54</f>
        <v>24.386880000000001</v>
      </c>
      <c r="J54" s="3"/>
      <c r="K54" s="30"/>
      <c r="L54" s="30"/>
      <c r="M54" s="30"/>
      <c r="O54" s="30"/>
    </row>
    <row r="55" spans="1:15" s="12" customFormat="1" x14ac:dyDescent="0.2">
      <c r="A55" s="126" t="s">
        <v>44</v>
      </c>
      <c r="B55" s="428" t="s">
        <v>45</v>
      </c>
      <c r="C55" s="428"/>
      <c r="D55" s="428"/>
      <c r="E55" s="428"/>
      <c r="F55" s="428"/>
      <c r="G55" s="428"/>
      <c r="H55" s="4">
        <v>2E-3</v>
      </c>
      <c r="I55" s="160">
        <f>($I$34+I41)*H55</f>
        <v>8.1289600000000011</v>
      </c>
      <c r="J55" s="3"/>
      <c r="K55" s="30"/>
      <c r="L55" s="30"/>
      <c r="M55" s="30"/>
      <c r="O55" s="30"/>
    </row>
    <row r="56" spans="1:15" s="12" customFormat="1" x14ac:dyDescent="0.2">
      <c r="A56" s="126" t="s">
        <v>46</v>
      </c>
      <c r="B56" s="428" t="s">
        <v>47</v>
      </c>
      <c r="C56" s="428"/>
      <c r="D56" s="428"/>
      <c r="E56" s="428"/>
      <c r="F56" s="428"/>
      <c r="G56" s="428"/>
      <c r="H56" s="4">
        <v>0.08</v>
      </c>
      <c r="I56" s="160">
        <f>($I$34+I41)*H56</f>
        <v>325.15840000000003</v>
      </c>
      <c r="J56" s="3"/>
      <c r="K56" s="30"/>
      <c r="L56" s="30"/>
      <c r="M56" s="30"/>
      <c r="O56" s="30"/>
    </row>
    <row r="57" spans="1:15" s="12" customFormat="1" x14ac:dyDescent="0.2">
      <c r="A57" s="427" t="s">
        <v>48</v>
      </c>
      <c r="B57" s="427"/>
      <c r="C57" s="427"/>
      <c r="D57" s="427"/>
      <c r="E57" s="427"/>
      <c r="F57" s="427"/>
      <c r="G57" s="427"/>
      <c r="H57" s="5">
        <f>SUM(H48:H49,H52:H56)+J50</f>
        <v>0.39800000000000002</v>
      </c>
      <c r="I57" s="154">
        <f>SUM(I48:I56)</f>
        <v>1617.6630400000001</v>
      </c>
      <c r="J57" s="3"/>
      <c r="K57" s="30"/>
      <c r="L57" s="30"/>
      <c r="M57" s="30"/>
      <c r="O57" s="30"/>
    </row>
    <row r="58" spans="1:15" s="12" customFormat="1" x14ac:dyDescent="0.2">
      <c r="A58" s="450"/>
      <c r="B58" s="450"/>
      <c r="C58" s="450"/>
      <c r="D58" s="450"/>
      <c r="E58" s="450"/>
      <c r="F58" s="450"/>
      <c r="G58" s="450"/>
      <c r="H58" s="450"/>
      <c r="I58" s="450"/>
      <c r="J58" s="3"/>
      <c r="K58" s="30"/>
      <c r="L58" s="30"/>
      <c r="M58" s="30"/>
      <c r="O58" s="30"/>
    </row>
    <row r="59" spans="1:15" s="12" customFormat="1" x14ac:dyDescent="0.2">
      <c r="A59" s="451" t="s">
        <v>49</v>
      </c>
      <c r="B59" s="451"/>
      <c r="C59" s="451"/>
      <c r="D59" s="451"/>
      <c r="E59" s="451"/>
      <c r="F59" s="451"/>
      <c r="G59" s="451"/>
      <c r="H59" s="9" t="s">
        <v>50</v>
      </c>
      <c r="I59" s="159" t="s">
        <v>19</v>
      </c>
      <c r="J59" s="3"/>
      <c r="K59" s="30"/>
      <c r="L59" s="30"/>
      <c r="M59" s="30"/>
      <c r="O59" s="30"/>
    </row>
    <row r="60" spans="1:15" s="12" customFormat="1" x14ac:dyDescent="0.2">
      <c r="A60" s="126" t="s">
        <v>1</v>
      </c>
      <c r="B60" s="435" t="s">
        <v>51</v>
      </c>
      <c r="C60" s="435"/>
      <c r="D60" s="435"/>
      <c r="E60" s="435"/>
      <c r="F60" s="435"/>
      <c r="G60" s="435"/>
      <c r="H60" s="10">
        <v>5.5</v>
      </c>
      <c r="I60" s="152">
        <f>' V.A_VT'!G16</f>
        <v>33.441000000000003</v>
      </c>
      <c r="J60" s="3"/>
      <c r="K60" s="30"/>
      <c r="L60" s="30"/>
      <c r="M60" s="30"/>
      <c r="O60" s="30"/>
    </row>
    <row r="61" spans="1:15" s="12" customFormat="1" x14ac:dyDescent="0.2">
      <c r="A61" s="126" t="s">
        <v>2</v>
      </c>
      <c r="B61" s="435" t="s">
        <v>52</v>
      </c>
      <c r="C61" s="435"/>
      <c r="D61" s="435"/>
      <c r="E61" s="435"/>
      <c r="F61" s="435"/>
      <c r="G61" s="435"/>
      <c r="H61" s="10">
        <v>35.770000000000003</v>
      </c>
      <c r="I61" s="297">
        <f>' V.A_VT'!G25</f>
        <v>551.25</v>
      </c>
      <c r="J61" s="3"/>
      <c r="K61" s="30"/>
      <c r="L61" s="30"/>
      <c r="M61" s="30"/>
      <c r="O61" s="30"/>
    </row>
    <row r="62" spans="1:15" s="12" customFormat="1" x14ac:dyDescent="0.2">
      <c r="A62" s="126" t="s">
        <v>4</v>
      </c>
      <c r="B62" s="452" t="s">
        <v>314</v>
      </c>
      <c r="C62" s="453"/>
      <c r="D62" s="453"/>
      <c r="E62" s="453"/>
      <c r="F62" s="453"/>
      <c r="G62" s="454"/>
      <c r="H62" s="283"/>
      <c r="I62" s="283"/>
      <c r="J62" s="3"/>
      <c r="K62" s="30"/>
      <c r="L62" s="30"/>
      <c r="M62" s="30"/>
      <c r="O62" s="30"/>
    </row>
    <row r="63" spans="1:15" s="12" customFormat="1" x14ac:dyDescent="0.2">
      <c r="A63" s="126" t="s">
        <v>6</v>
      </c>
      <c r="B63" s="435" t="s">
        <v>211</v>
      </c>
      <c r="C63" s="435"/>
      <c r="D63" s="435"/>
      <c r="E63" s="435"/>
      <c r="F63" s="435"/>
      <c r="G63" s="435"/>
      <c r="H63" s="283"/>
      <c r="I63" s="283"/>
      <c r="J63" s="3"/>
      <c r="K63" s="30"/>
      <c r="L63" s="30"/>
      <c r="M63" s="30"/>
      <c r="O63" s="30"/>
    </row>
    <row r="64" spans="1:15" s="12" customFormat="1" x14ac:dyDescent="0.2">
      <c r="A64" s="126" t="s">
        <v>23</v>
      </c>
      <c r="B64" s="428" t="s">
        <v>311</v>
      </c>
      <c r="C64" s="428"/>
      <c r="D64" s="428"/>
      <c r="E64" s="428"/>
      <c r="F64" s="428"/>
      <c r="G64" s="428"/>
      <c r="H64" s="283"/>
      <c r="I64" s="286">
        <v>0</v>
      </c>
      <c r="J64" s="3"/>
      <c r="K64" s="30"/>
      <c r="L64" s="30"/>
      <c r="M64" s="30"/>
      <c r="O64" s="30"/>
    </row>
    <row r="65" spans="1:18" s="12" customFormat="1" x14ac:dyDescent="0.2">
      <c r="A65" s="126" t="s">
        <v>25</v>
      </c>
      <c r="B65" s="435" t="s">
        <v>26</v>
      </c>
      <c r="C65" s="435"/>
      <c r="D65" s="435"/>
      <c r="E65" s="435"/>
      <c r="F65" s="435"/>
      <c r="G65" s="435"/>
      <c r="H65" s="10"/>
      <c r="I65" s="152"/>
      <c r="J65" s="3"/>
      <c r="K65" s="30"/>
      <c r="L65" s="30"/>
      <c r="M65" s="30"/>
      <c r="O65" s="30"/>
    </row>
    <row r="66" spans="1:18" s="12" customFormat="1" x14ac:dyDescent="0.2">
      <c r="A66" s="427" t="s">
        <v>54</v>
      </c>
      <c r="B66" s="427"/>
      <c r="C66" s="427"/>
      <c r="D66" s="427"/>
      <c r="E66" s="427"/>
      <c r="F66" s="427"/>
      <c r="G66" s="427"/>
      <c r="H66" s="427"/>
      <c r="I66" s="158">
        <f>SUM(I60:I65)</f>
        <v>584.69100000000003</v>
      </c>
      <c r="J66" s="3"/>
      <c r="K66" s="30"/>
      <c r="L66" s="30"/>
      <c r="M66" s="30"/>
      <c r="O66" s="30"/>
    </row>
    <row r="67" spans="1:18" s="12" customFormat="1" ht="30" hidden="1" customHeight="1" x14ac:dyDescent="0.2">
      <c r="A67" s="448" t="s">
        <v>55</v>
      </c>
      <c r="B67" s="448"/>
      <c r="C67" s="448"/>
      <c r="D67" s="448"/>
      <c r="E67" s="448"/>
      <c r="F67" s="448"/>
      <c r="G67" s="448"/>
      <c r="H67" s="448"/>
      <c r="I67" s="448"/>
      <c r="J67" s="3"/>
      <c r="K67" s="30"/>
      <c r="L67" s="30"/>
      <c r="M67" s="30"/>
      <c r="O67" s="30"/>
    </row>
    <row r="68" spans="1:18" s="12" customFormat="1" ht="30" hidden="1" customHeight="1" x14ac:dyDescent="0.2">
      <c r="A68" s="449" t="s">
        <v>56</v>
      </c>
      <c r="B68" s="449"/>
      <c r="C68" s="449"/>
      <c r="D68" s="449"/>
      <c r="E68" s="449"/>
      <c r="F68" s="449"/>
      <c r="G68" s="449"/>
      <c r="H68" s="449"/>
      <c r="I68" s="449"/>
      <c r="J68" s="443" t="s">
        <v>128</v>
      </c>
      <c r="K68" s="444"/>
      <c r="L68" s="444"/>
      <c r="M68" s="444"/>
      <c r="N68" s="444"/>
      <c r="O68" s="444"/>
      <c r="P68" s="444"/>
      <c r="Q68" s="444"/>
      <c r="R68" s="444"/>
    </row>
    <row r="69" spans="1:18" s="12" customFormat="1" ht="30" hidden="1" customHeight="1" x14ac:dyDescent="0.2">
      <c r="A69" s="445" t="s">
        <v>57</v>
      </c>
      <c r="B69" s="445"/>
      <c r="C69" s="445"/>
      <c r="D69" s="445"/>
      <c r="E69" s="445"/>
      <c r="F69" s="445"/>
      <c r="G69" s="445"/>
      <c r="H69" s="445"/>
      <c r="I69" s="445"/>
      <c r="J69" s="3"/>
      <c r="K69" s="30"/>
      <c r="L69" s="30"/>
      <c r="M69" s="30"/>
      <c r="O69" s="30"/>
    </row>
    <row r="70" spans="1:18" s="12" customFormat="1" ht="18.75" hidden="1" customHeight="1" x14ac:dyDescent="0.2">
      <c r="A70" s="446" t="s">
        <v>58</v>
      </c>
      <c r="B70" s="446"/>
      <c r="C70" s="446"/>
      <c r="D70" s="446"/>
      <c r="E70" s="446"/>
      <c r="F70" s="446"/>
      <c r="G70" s="446"/>
      <c r="H70" s="446"/>
      <c r="I70" s="446"/>
      <c r="J70" s="3"/>
      <c r="K70" s="30"/>
      <c r="L70" s="30"/>
      <c r="M70" s="30"/>
      <c r="O70" s="30"/>
    </row>
    <row r="71" spans="1:18" s="12" customFormat="1" x14ac:dyDescent="0.2">
      <c r="A71" s="447"/>
      <c r="B71" s="447"/>
      <c r="C71" s="447"/>
      <c r="D71" s="447"/>
      <c r="E71" s="447"/>
      <c r="F71" s="447"/>
      <c r="G71" s="447"/>
      <c r="H71" s="447"/>
      <c r="I71" s="447"/>
      <c r="J71" s="3"/>
      <c r="K71" s="30"/>
      <c r="L71" s="30"/>
      <c r="M71" s="30"/>
      <c r="O71" s="30"/>
    </row>
    <row r="72" spans="1:18" s="12" customFormat="1" x14ac:dyDescent="0.2">
      <c r="A72" s="431" t="s">
        <v>59</v>
      </c>
      <c r="B72" s="431"/>
      <c r="C72" s="431"/>
      <c r="D72" s="431"/>
      <c r="E72" s="431"/>
      <c r="F72" s="431"/>
      <c r="G72" s="431"/>
      <c r="H72" s="431"/>
      <c r="I72" s="431"/>
      <c r="J72" s="3"/>
      <c r="K72" s="30"/>
      <c r="L72" s="30"/>
      <c r="M72" s="30"/>
      <c r="O72" s="30"/>
    </row>
    <row r="73" spans="1:18" s="12" customFormat="1" x14ac:dyDescent="0.2">
      <c r="A73" s="427" t="s">
        <v>60</v>
      </c>
      <c r="B73" s="427"/>
      <c r="C73" s="427"/>
      <c r="D73" s="427"/>
      <c r="E73" s="427"/>
      <c r="F73" s="427"/>
      <c r="G73" s="427"/>
      <c r="H73" s="427"/>
      <c r="I73" s="150" t="s">
        <v>19</v>
      </c>
      <c r="J73" s="3"/>
      <c r="K73" s="30"/>
      <c r="L73" s="57">
        <f>SUM(I74+I75+I86+I96)/I34</f>
        <v>0.88223667995192012</v>
      </c>
      <c r="M73" s="30"/>
      <c r="O73" s="30"/>
    </row>
    <row r="74" spans="1:18" s="12" customFormat="1" x14ac:dyDescent="0.2">
      <c r="A74" s="126" t="s">
        <v>61</v>
      </c>
      <c r="B74" s="428" t="s">
        <v>62</v>
      </c>
      <c r="C74" s="428"/>
      <c r="D74" s="428"/>
      <c r="E74" s="428"/>
      <c r="F74" s="428"/>
      <c r="G74" s="428"/>
      <c r="H74" s="428"/>
      <c r="I74" s="152">
        <f>I41</f>
        <v>903.08</v>
      </c>
      <c r="J74" s="3"/>
      <c r="K74" s="30"/>
      <c r="L74" s="30"/>
      <c r="M74" s="30"/>
      <c r="O74" s="30"/>
    </row>
    <row r="75" spans="1:18" s="12" customFormat="1" x14ac:dyDescent="0.2">
      <c r="A75" s="126" t="s">
        <v>63</v>
      </c>
      <c r="B75" s="428" t="s">
        <v>64</v>
      </c>
      <c r="C75" s="428"/>
      <c r="D75" s="428"/>
      <c r="E75" s="428"/>
      <c r="F75" s="428"/>
      <c r="G75" s="428"/>
      <c r="H75" s="428"/>
      <c r="I75" s="152">
        <f>I57</f>
        <v>1617.6630400000001</v>
      </c>
      <c r="J75" s="3"/>
      <c r="K75" s="30"/>
      <c r="L75" s="30"/>
      <c r="M75" s="30"/>
      <c r="O75" s="30"/>
    </row>
    <row r="76" spans="1:18" s="12" customFormat="1" x14ac:dyDescent="0.2">
      <c r="A76" s="126" t="s">
        <v>65</v>
      </c>
      <c r="B76" s="428" t="s">
        <v>66</v>
      </c>
      <c r="C76" s="428"/>
      <c r="D76" s="428"/>
      <c r="E76" s="428"/>
      <c r="F76" s="428"/>
      <c r="G76" s="428"/>
      <c r="H76" s="428"/>
      <c r="I76" s="152">
        <f>I66</f>
        <v>584.69100000000003</v>
      </c>
      <c r="J76" s="3"/>
      <c r="K76" s="30"/>
      <c r="L76" s="30"/>
      <c r="M76" s="30"/>
      <c r="O76" s="30"/>
    </row>
    <row r="77" spans="1:18" s="12" customFormat="1" x14ac:dyDescent="0.2">
      <c r="A77" s="427" t="s">
        <v>67</v>
      </c>
      <c r="B77" s="427"/>
      <c r="C77" s="427"/>
      <c r="D77" s="427"/>
      <c r="E77" s="427"/>
      <c r="F77" s="427"/>
      <c r="G77" s="427"/>
      <c r="H77" s="427"/>
      <c r="I77" s="154">
        <f>TRUNC(SUM(I74:I76),2)</f>
        <v>3105.43</v>
      </c>
      <c r="J77" s="3"/>
      <c r="K77" s="30"/>
      <c r="L77" s="30"/>
      <c r="M77" s="30"/>
      <c r="O77" s="30"/>
    </row>
    <row r="78" spans="1:18" s="12" customFormat="1" x14ac:dyDescent="0.2">
      <c r="A78" s="11"/>
      <c r="B78" s="11"/>
      <c r="C78" s="11"/>
      <c r="D78" s="11"/>
      <c r="E78" s="11"/>
      <c r="F78" s="11"/>
      <c r="G78" s="11"/>
      <c r="H78" s="11"/>
      <c r="I78" s="164"/>
      <c r="J78" s="3"/>
      <c r="K78" s="30"/>
      <c r="L78" s="30"/>
      <c r="M78" s="30"/>
      <c r="O78" s="30"/>
    </row>
    <row r="79" spans="1:18" s="12" customFormat="1" x14ac:dyDescent="0.2">
      <c r="A79" s="431" t="s">
        <v>68</v>
      </c>
      <c r="B79" s="431"/>
      <c r="C79" s="431"/>
      <c r="D79" s="431"/>
      <c r="E79" s="431"/>
      <c r="F79" s="431"/>
      <c r="G79" s="431"/>
      <c r="H79" s="431"/>
      <c r="I79" s="431"/>
      <c r="J79" s="3"/>
      <c r="K79" s="30"/>
      <c r="L79" s="30"/>
      <c r="M79" s="30"/>
      <c r="O79" s="30"/>
    </row>
    <row r="80" spans="1:18" s="12" customFormat="1" x14ac:dyDescent="0.2">
      <c r="A80" s="126">
        <v>3</v>
      </c>
      <c r="B80" s="427" t="s">
        <v>69</v>
      </c>
      <c r="C80" s="427"/>
      <c r="D80" s="427"/>
      <c r="E80" s="427"/>
      <c r="F80" s="427"/>
      <c r="G80" s="427"/>
      <c r="H80" s="126" t="s">
        <v>18</v>
      </c>
      <c r="I80" s="150" t="s">
        <v>19</v>
      </c>
      <c r="J80" s="3"/>
      <c r="K80" s="30"/>
      <c r="L80" s="30"/>
      <c r="M80" s="30"/>
      <c r="O80" s="30"/>
    </row>
    <row r="81" spans="1:15" s="12" customFormat="1" x14ac:dyDescent="0.2">
      <c r="A81" s="126" t="s">
        <v>1</v>
      </c>
      <c r="B81" s="428" t="s">
        <v>70</v>
      </c>
      <c r="C81" s="428"/>
      <c r="D81" s="428"/>
      <c r="E81" s="428"/>
      <c r="F81" s="428"/>
      <c r="G81" s="428"/>
      <c r="H81" s="4">
        <v>4.5999999999999999E-3</v>
      </c>
      <c r="I81" s="152">
        <f t="shared" ref="I81:I85" si="0">$I$34*H81</f>
        <v>14.542440000000001</v>
      </c>
      <c r="J81" s="3"/>
      <c r="K81" s="30"/>
      <c r="L81" s="30"/>
      <c r="M81" s="30"/>
      <c r="O81" s="30"/>
    </row>
    <row r="82" spans="1:15" s="12" customFormat="1" x14ac:dyDescent="0.2">
      <c r="A82" s="126" t="s">
        <v>2</v>
      </c>
      <c r="B82" s="428" t="s">
        <v>71</v>
      </c>
      <c r="C82" s="428"/>
      <c r="D82" s="428"/>
      <c r="E82" s="428"/>
      <c r="F82" s="428"/>
      <c r="G82" s="428"/>
      <c r="H82" s="4">
        <f>H81*0.08</f>
        <v>3.68E-4</v>
      </c>
      <c r="I82" s="152">
        <f t="shared" si="0"/>
        <v>1.1633952000000001</v>
      </c>
      <c r="J82" s="3"/>
      <c r="K82" s="30"/>
      <c r="L82" s="30"/>
      <c r="M82" s="30"/>
      <c r="O82" s="30"/>
    </row>
    <row r="83" spans="1:15" s="12" customFormat="1" x14ac:dyDescent="0.2">
      <c r="A83" s="126" t="s">
        <v>4</v>
      </c>
      <c r="B83" s="428" t="s">
        <v>72</v>
      </c>
      <c r="C83" s="428"/>
      <c r="D83" s="428"/>
      <c r="E83" s="428"/>
      <c r="F83" s="428"/>
      <c r="G83" s="428"/>
      <c r="H83" s="4">
        <v>1.9400000000000001E-2</v>
      </c>
      <c r="I83" s="152">
        <f t="shared" si="0"/>
        <v>61.331160000000004</v>
      </c>
      <c r="L83" s="57"/>
    </row>
    <row r="84" spans="1:15" s="12" customFormat="1" x14ac:dyDescent="0.2">
      <c r="A84" s="126" t="s">
        <v>6</v>
      </c>
      <c r="B84" s="428" t="s">
        <v>73</v>
      </c>
      <c r="C84" s="428"/>
      <c r="D84" s="428"/>
      <c r="E84" s="428"/>
      <c r="F84" s="428"/>
      <c r="G84" s="428"/>
      <c r="H84" s="13">
        <f>H83*H57</f>
        <v>7.721200000000001E-3</v>
      </c>
      <c r="I84" s="152">
        <f t="shared" si="0"/>
        <v>24.409801680000005</v>
      </c>
      <c r="J84" s="3"/>
      <c r="K84" s="14"/>
    </row>
    <row r="85" spans="1:15" s="12" customFormat="1" ht="41.25" customHeight="1" x14ac:dyDescent="0.2">
      <c r="A85" s="413" t="s">
        <v>23</v>
      </c>
      <c r="B85" s="442" t="s">
        <v>476</v>
      </c>
      <c r="C85" s="442"/>
      <c r="D85" s="442"/>
      <c r="E85" s="442"/>
      <c r="F85" s="442"/>
      <c r="G85" s="442"/>
      <c r="H85" s="414">
        <v>0.04</v>
      </c>
      <c r="I85" s="416">
        <f t="shared" si="0"/>
        <v>126.456</v>
      </c>
      <c r="J85" s="3"/>
      <c r="K85" s="30"/>
    </row>
    <row r="86" spans="1:15" s="12" customFormat="1" x14ac:dyDescent="0.2">
      <c r="A86" s="427" t="s">
        <v>74</v>
      </c>
      <c r="B86" s="427"/>
      <c r="C86" s="427"/>
      <c r="D86" s="427"/>
      <c r="E86" s="427"/>
      <c r="F86" s="427"/>
      <c r="G86" s="427"/>
      <c r="H86" s="5">
        <f>TRUNC(SUM(H81:H85),4)</f>
        <v>7.1999999999999995E-2</v>
      </c>
      <c r="I86" s="154">
        <f>TRUNC(SUM(I81:I85),2)</f>
        <v>227.9</v>
      </c>
      <c r="J86" s="3"/>
      <c r="K86" s="30"/>
    </row>
    <row r="87" spans="1:15" s="12" customFormat="1" x14ac:dyDescent="0.2">
      <c r="A87" s="441"/>
      <c r="B87" s="441"/>
      <c r="C87" s="441"/>
      <c r="D87" s="441"/>
      <c r="E87" s="441"/>
      <c r="F87" s="441"/>
      <c r="G87" s="441"/>
      <c r="H87" s="441"/>
      <c r="I87" s="441"/>
      <c r="J87" s="3"/>
      <c r="K87" s="30"/>
    </row>
    <row r="88" spans="1:15" s="12" customFormat="1" x14ac:dyDescent="0.2">
      <c r="A88" s="431" t="s">
        <v>75</v>
      </c>
      <c r="B88" s="431"/>
      <c r="C88" s="431"/>
      <c r="D88" s="431"/>
      <c r="E88" s="431"/>
      <c r="F88" s="431"/>
      <c r="G88" s="431"/>
      <c r="H88" s="431"/>
      <c r="I88" s="431"/>
      <c r="J88" s="3"/>
      <c r="K88" s="30"/>
    </row>
    <row r="89" spans="1:15" s="12" customFormat="1" x14ac:dyDescent="0.2">
      <c r="A89" s="437" t="s">
        <v>76</v>
      </c>
      <c r="B89" s="437"/>
      <c r="C89" s="437"/>
      <c r="D89" s="437"/>
      <c r="E89" s="437"/>
      <c r="F89" s="437"/>
      <c r="G89" s="437"/>
      <c r="H89" s="129" t="s">
        <v>18</v>
      </c>
      <c r="I89" s="166" t="s">
        <v>19</v>
      </c>
      <c r="J89" s="3"/>
      <c r="K89" s="30"/>
    </row>
    <row r="90" spans="1:15" s="12" customFormat="1" x14ac:dyDescent="0.2">
      <c r="A90" s="126" t="s">
        <v>1</v>
      </c>
      <c r="B90" s="428" t="s">
        <v>340</v>
      </c>
      <c r="C90" s="428"/>
      <c r="D90" s="428"/>
      <c r="E90" s="428"/>
      <c r="F90" s="428"/>
      <c r="G90" s="428"/>
      <c r="H90" s="277">
        <v>9.2999999999999992E-3</v>
      </c>
      <c r="I90" s="152">
        <f t="shared" ref="I90:I95" si="1">$I$34*H90</f>
        <v>29.401019999999999</v>
      </c>
      <c r="J90" s="3"/>
      <c r="K90" s="30"/>
    </row>
    <row r="91" spans="1:15" s="12" customFormat="1" x14ac:dyDescent="0.2">
      <c r="A91" s="126" t="s">
        <v>2</v>
      </c>
      <c r="B91" s="428" t="s">
        <v>341</v>
      </c>
      <c r="C91" s="428"/>
      <c r="D91" s="428"/>
      <c r="E91" s="428"/>
      <c r="F91" s="428"/>
      <c r="G91" s="428"/>
      <c r="H91" s="4">
        <v>2.8E-3</v>
      </c>
      <c r="I91" s="152">
        <f>$I$34*H91</f>
        <v>8.8519199999999998</v>
      </c>
      <c r="J91" s="15"/>
      <c r="K91" s="30"/>
    </row>
    <row r="92" spans="1:15" s="12" customFormat="1" x14ac:dyDescent="0.2">
      <c r="A92" s="126" t="s">
        <v>4</v>
      </c>
      <c r="B92" s="428" t="s">
        <v>342</v>
      </c>
      <c r="C92" s="428"/>
      <c r="D92" s="428"/>
      <c r="E92" s="428"/>
      <c r="F92" s="428"/>
      <c r="G92" s="428"/>
      <c r="H92" s="4">
        <v>2.0000000000000001E-4</v>
      </c>
      <c r="I92" s="152">
        <f>$I$34*H92</f>
        <v>0.63228000000000006</v>
      </c>
      <c r="J92" s="15"/>
      <c r="K92" s="16"/>
    </row>
    <row r="93" spans="1:15" s="12" customFormat="1" x14ac:dyDescent="0.2">
      <c r="A93" s="126" t="s">
        <v>6</v>
      </c>
      <c r="B93" s="428" t="s">
        <v>343</v>
      </c>
      <c r="C93" s="428"/>
      <c r="D93" s="428"/>
      <c r="E93" s="428"/>
      <c r="F93" s="428"/>
      <c r="G93" s="428"/>
      <c r="H93" s="4">
        <v>2.9999999999999997E-4</v>
      </c>
      <c r="I93" s="152">
        <f t="shared" si="1"/>
        <v>0.94841999999999993</v>
      </c>
      <c r="J93" s="15"/>
      <c r="K93" s="16"/>
    </row>
    <row r="94" spans="1:15" s="12" customFormat="1" x14ac:dyDescent="0.2">
      <c r="A94" s="126" t="s">
        <v>23</v>
      </c>
      <c r="B94" s="428" t="s">
        <v>344</v>
      </c>
      <c r="C94" s="428"/>
      <c r="D94" s="428"/>
      <c r="E94" s="428"/>
      <c r="F94" s="428"/>
      <c r="G94" s="428"/>
      <c r="H94" s="4">
        <v>2.0000000000000001E-4</v>
      </c>
      <c r="I94" s="152">
        <f t="shared" si="1"/>
        <v>0.63228000000000006</v>
      </c>
      <c r="J94" s="30"/>
      <c r="K94" s="17"/>
    </row>
    <row r="95" spans="1:15" s="12" customFormat="1" x14ac:dyDescent="0.2">
      <c r="A95" s="126" t="s">
        <v>25</v>
      </c>
      <c r="B95" s="428" t="s">
        <v>77</v>
      </c>
      <c r="C95" s="428"/>
      <c r="D95" s="428"/>
      <c r="E95" s="428"/>
      <c r="F95" s="428"/>
      <c r="G95" s="428"/>
      <c r="H95" s="4">
        <v>0</v>
      </c>
      <c r="I95" s="152">
        <f t="shared" si="1"/>
        <v>0</v>
      </c>
      <c r="J95" s="18"/>
      <c r="K95" s="30"/>
    </row>
    <row r="96" spans="1:15" s="12" customFormat="1" x14ac:dyDescent="0.2">
      <c r="A96" s="427" t="s">
        <v>78</v>
      </c>
      <c r="B96" s="427"/>
      <c r="C96" s="427"/>
      <c r="D96" s="427"/>
      <c r="E96" s="427"/>
      <c r="F96" s="427"/>
      <c r="G96" s="427"/>
      <c r="H96" s="5">
        <f>TRUNC(SUM(H90:H95),4)</f>
        <v>1.2800000000000001E-2</v>
      </c>
      <c r="I96" s="154">
        <f>TRUNC(SUM(I90:I95),2)</f>
        <v>40.46</v>
      </c>
      <c r="J96" s="3"/>
      <c r="K96" s="30"/>
    </row>
    <row r="97" spans="1:14" s="12" customFormat="1" x14ac:dyDescent="0.2">
      <c r="A97" s="440"/>
      <c r="B97" s="440"/>
      <c r="C97" s="440"/>
      <c r="D97" s="440"/>
      <c r="E97" s="440"/>
      <c r="F97" s="440"/>
      <c r="G97" s="440"/>
      <c r="H97" s="440"/>
      <c r="I97" s="440"/>
      <c r="J97" s="3"/>
      <c r="K97" s="30"/>
    </row>
    <row r="98" spans="1:14" s="12" customFormat="1" x14ac:dyDescent="0.2">
      <c r="A98" s="437" t="s">
        <v>79</v>
      </c>
      <c r="B98" s="437"/>
      <c r="C98" s="437"/>
      <c r="D98" s="437"/>
      <c r="E98" s="437"/>
      <c r="F98" s="437"/>
      <c r="G98" s="437"/>
      <c r="H98" s="129" t="s">
        <v>18</v>
      </c>
      <c r="I98" s="166" t="s">
        <v>19</v>
      </c>
      <c r="J98" s="3"/>
      <c r="K98" s="30"/>
    </row>
    <row r="99" spans="1:14" s="12" customFormat="1" x14ac:dyDescent="0.2">
      <c r="A99" s="368" t="s">
        <v>1</v>
      </c>
      <c r="B99" s="438" t="s">
        <v>80</v>
      </c>
      <c r="C99" s="438"/>
      <c r="D99" s="438"/>
      <c r="E99" s="438"/>
      <c r="F99" s="438"/>
      <c r="G99" s="438"/>
      <c r="H99" s="277">
        <v>0</v>
      </c>
      <c r="I99" s="369">
        <v>20.63</v>
      </c>
      <c r="J99" s="3"/>
      <c r="K99" s="30"/>
    </row>
    <row r="100" spans="1:14" s="12" customFormat="1" x14ac:dyDescent="0.2">
      <c r="A100" s="427" t="s">
        <v>81</v>
      </c>
      <c r="B100" s="427"/>
      <c r="C100" s="427"/>
      <c r="D100" s="427"/>
      <c r="E100" s="427"/>
      <c r="F100" s="427"/>
      <c r="G100" s="427"/>
      <c r="H100" s="5">
        <f>TRUNC(SUM(H99),4)</f>
        <v>0</v>
      </c>
      <c r="I100" s="152">
        <f>TRUNC(SUM(I99),2)</f>
        <v>20.63</v>
      </c>
      <c r="J100" s="3"/>
      <c r="K100" s="30"/>
    </row>
    <row r="101" spans="1:14" s="12" customFormat="1" x14ac:dyDescent="0.2">
      <c r="A101" s="439"/>
      <c r="B101" s="439"/>
      <c r="C101" s="439"/>
      <c r="D101" s="439"/>
      <c r="E101" s="439"/>
      <c r="F101" s="439"/>
      <c r="G101" s="439"/>
      <c r="H101" s="439"/>
      <c r="I101" s="439"/>
      <c r="J101" s="3"/>
      <c r="K101" s="30"/>
    </row>
    <row r="102" spans="1:14" s="12" customFormat="1" x14ac:dyDescent="0.2">
      <c r="A102" s="431" t="s">
        <v>82</v>
      </c>
      <c r="B102" s="431"/>
      <c r="C102" s="431"/>
      <c r="D102" s="431"/>
      <c r="E102" s="431"/>
      <c r="F102" s="431"/>
      <c r="G102" s="431"/>
      <c r="H102" s="431"/>
      <c r="I102" s="431"/>
      <c r="J102" s="3"/>
      <c r="K102" s="30"/>
    </row>
    <row r="103" spans="1:14" s="12" customFormat="1" x14ac:dyDescent="0.2">
      <c r="A103" s="427" t="s">
        <v>83</v>
      </c>
      <c r="B103" s="427"/>
      <c r="C103" s="427"/>
      <c r="D103" s="427"/>
      <c r="E103" s="427"/>
      <c r="F103" s="427"/>
      <c r="G103" s="427"/>
      <c r="H103" s="427"/>
      <c r="I103" s="150" t="s">
        <v>19</v>
      </c>
      <c r="J103" s="3"/>
      <c r="K103" s="30"/>
    </row>
    <row r="104" spans="1:14" s="12" customFormat="1" x14ac:dyDescent="0.2">
      <c r="A104" s="126" t="s">
        <v>84</v>
      </c>
      <c r="B104" s="471" t="s">
        <v>85</v>
      </c>
      <c r="C104" s="471"/>
      <c r="D104" s="471"/>
      <c r="E104" s="471"/>
      <c r="F104" s="471"/>
      <c r="G104" s="471"/>
      <c r="H104" s="471"/>
      <c r="I104" s="152">
        <f>I96</f>
        <v>40.46</v>
      </c>
      <c r="J104" s="3"/>
      <c r="K104" s="30"/>
    </row>
    <row r="105" spans="1:14" s="12" customFormat="1" x14ac:dyDescent="0.2">
      <c r="A105" s="126" t="s">
        <v>86</v>
      </c>
      <c r="B105" s="471" t="s">
        <v>87</v>
      </c>
      <c r="C105" s="471"/>
      <c r="D105" s="471"/>
      <c r="E105" s="471"/>
      <c r="F105" s="471"/>
      <c r="G105" s="471"/>
      <c r="H105" s="471"/>
      <c r="I105" s="152">
        <v>20.63</v>
      </c>
      <c r="J105" s="3"/>
      <c r="K105" s="30"/>
      <c r="M105" s="40"/>
      <c r="N105" s="56">
        <f>M105/2</f>
        <v>0</v>
      </c>
    </row>
    <row r="106" spans="1:14" s="12" customFormat="1" x14ac:dyDescent="0.2">
      <c r="A106" s="427" t="s">
        <v>88</v>
      </c>
      <c r="B106" s="427"/>
      <c r="C106" s="427"/>
      <c r="D106" s="427"/>
      <c r="E106" s="427"/>
      <c r="F106" s="427"/>
      <c r="G106" s="427"/>
      <c r="H106" s="427"/>
      <c r="I106" s="154">
        <f>TRUNC(SUM(I104:I105),2)</f>
        <v>61.09</v>
      </c>
      <c r="J106" s="3"/>
      <c r="K106" s="30"/>
    </row>
    <row r="107" spans="1:14" s="12" customFormat="1" x14ac:dyDescent="0.2">
      <c r="A107" s="436"/>
      <c r="B107" s="436"/>
      <c r="C107" s="436"/>
      <c r="D107" s="436"/>
      <c r="E107" s="436"/>
      <c r="F107" s="436"/>
      <c r="G107" s="436"/>
      <c r="H107" s="436"/>
      <c r="I107" s="436"/>
      <c r="J107" s="3"/>
      <c r="K107" s="30"/>
      <c r="M107" s="58"/>
    </row>
    <row r="108" spans="1:14" s="12" customFormat="1" x14ac:dyDescent="0.2">
      <c r="A108" s="431" t="s">
        <v>89</v>
      </c>
      <c r="B108" s="431"/>
      <c r="C108" s="431"/>
      <c r="D108" s="431"/>
      <c r="E108" s="431"/>
      <c r="F108" s="431"/>
      <c r="G108" s="431"/>
      <c r="H108" s="431"/>
      <c r="I108" s="431"/>
      <c r="J108" s="3"/>
      <c r="K108" s="30"/>
    </row>
    <row r="109" spans="1:14" s="12" customFormat="1" x14ac:dyDescent="0.2">
      <c r="A109" s="126">
        <v>5</v>
      </c>
      <c r="B109" s="427" t="s">
        <v>90</v>
      </c>
      <c r="C109" s="427"/>
      <c r="D109" s="427"/>
      <c r="E109" s="427"/>
      <c r="F109" s="427"/>
      <c r="G109" s="427"/>
      <c r="H109" s="126"/>
      <c r="I109" s="150" t="s">
        <v>19</v>
      </c>
      <c r="J109" s="3"/>
      <c r="K109" s="30"/>
    </row>
    <row r="110" spans="1:14" s="12" customFormat="1" x14ac:dyDescent="0.2">
      <c r="A110" s="126" t="s">
        <v>1</v>
      </c>
      <c r="B110" s="435" t="s">
        <v>91</v>
      </c>
      <c r="C110" s="435"/>
      <c r="D110" s="435"/>
      <c r="E110" s="435"/>
      <c r="F110" s="435"/>
      <c r="G110" s="435"/>
      <c r="H110" s="124" t="s">
        <v>92</v>
      </c>
      <c r="I110" s="152">
        <f>UNIFORME_EPI!H13</f>
        <v>53.9</v>
      </c>
      <c r="J110" s="3"/>
      <c r="K110" s="30"/>
    </row>
    <row r="111" spans="1:14" s="12" customFormat="1" x14ac:dyDescent="0.2">
      <c r="A111" s="126" t="s">
        <v>2</v>
      </c>
      <c r="B111" s="435" t="s">
        <v>447</v>
      </c>
      <c r="C111" s="435"/>
      <c r="D111" s="435"/>
      <c r="E111" s="435"/>
      <c r="F111" s="435"/>
      <c r="G111" s="435"/>
      <c r="H111" s="124" t="s">
        <v>92</v>
      </c>
      <c r="I111" s="152">
        <f>EQUIPAMENTOS!G16</f>
        <v>4.3181190476190476</v>
      </c>
      <c r="J111" s="3"/>
      <c r="K111" s="30"/>
    </row>
    <row r="112" spans="1:14" s="12" customFormat="1" x14ac:dyDescent="0.2">
      <c r="A112" s="19" t="s">
        <v>4</v>
      </c>
      <c r="B112" s="435" t="s">
        <v>212</v>
      </c>
      <c r="C112" s="435"/>
      <c r="D112" s="435"/>
      <c r="E112" s="435"/>
      <c r="F112" s="435"/>
      <c r="G112" s="435"/>
      <c r="H112" s="124" t="s">
        <v>92</v>
      </c>
      <c r="I112" s="152">
        <f>'RELÓGIO_ PONTO '!G8</f>
        <v>4.4444444444444438</v>
      </c>
      <c r="J112" s="3"/>
      <c r="K112" s="30"/>
    </row>
    <row r="113" spans="1:11" s="12" customFormat="1" x14ac:dyDescent="0.2">
      <c r="A113" s="427" t="s">
        <v>93</v>
      </c>
      <c r="B113" s="427"/>
      <c r="C113" s="427"/>
      <c r="D113" s="427"/>
      <c r="E113" s="427"/>
      <c r="F113" s="427"/>
      <c r="G113" s="427"/>
      <c r="H113" s="5" t="s">
        <v>92</v>
      </c>
      <c r="I113" s="152">
        <f>TRUNC(SUM(I110:I112),2)</f>
        <v>62.66</v>
      </c>
      <c r="J113" s="3"/>
      <c r="K113" s="30"/>
    </row>
    <row r="114" spans="1:11" s="12" customFormat="1" x14ac:dyDescent="0.2">
      <c r="A114" s="436"/>
      <c r="B114" s="436"/>
      <c r="C114" s="436"/>
      <c r="D114" s="436"/>
      <c r="E114" s="436"/>
      <c r="F114" s="436"/>
      <c r="G114" s="436"/>
      <c r="H114" s="436"/>
      <c r="I114" s="436"/>
      <c r="J114" s="3"/>
      <c r="K114" s="30"/>
    </row>
    <row r="115" spans="1:11" s="12" customFormat="1" x14ac:dyDescent="0.2">
      <c r="A115" s="431" t="s">
        <v>94</v>
      </c>
      <c r="B115" s="431"/>
      <c r="C115" s="431"/>
      <c r="D115" s="431"/>
      <c r="E115" s="431"/>
      <c r="F115" s="431"/>
      <c r="G115" s="431"/>
      <c r="H115" s="431"/>
      <c r="I115" s="431"/>
      <c r="J115" s="3"/>
      <c r="K115" s="30"/>
    </row>
    <row r="116" spans="1:11" s="12" customFormat="1" x14ac:dyDescent="0.2">
      <c r="A116" s="126">
        <v>6</v>
      </c>
      <c r="B116" s="427" t="s">
        <v>95</v>
      </c>
      <c r="C116" s="427"/>
      <c r="D116" s="427"/>
      <c r="E116" s="427"/>
      <c r="F116" s="427"/>
      <c r="G116" s="427"/>
      <c r="H116" s="126" t="s">
        <v>18</v>
      </c>
      <c r="I116" s="150" t="s">
        <v>19</v>
      </c>
      <c r="J116" s="3"/>
      <c r="K116" s="30"/>
    </row>
    <row r="117" spans="1:11" s="12" customFormat="1" x14ac:dyDescent="0.2">
      <c r="A117" s="126" t="s">
        <v>1</v>
      </c>
      <c r="B117" s="428" t="s">
        <v>96</v>
      </c>
      <c r="C117" s="428"/>
      <c r="D117" s="428"/>
      <c r="E117" s="428"/>
      <c r="F117" s="428"/>
      <c r="G117" s="428"/>
      <c r="H117" s="122">
        <v>0.03</v>
      </c>
      <c r="I117" s="152">
        <f>TRUNC(H117*I141,2)</f>
        <v>198.55</v>
      </c>
      <c r="J117" s="3"/>
      <c r="K117" s="30"/>
    </row>
    <row r="118" spans="1:11" s="12" customFormat="1" x14ac:dyDescent="0.2">
      <c r="A118" s="126" t="s">
        <v>2</v>
      </c>
      <c r="B118" s="428" t="s">
        <v>97</v>
      </c>
      <c r="C118" s="428"/>
      <c r="D118" s="428"/>
      <c r="E118" s="428"/>
      <c r="F118" s="428"/>
      <c r="G118" s="428"/>
      <c r="H118" s="122">
        <v>0.03</v>
      </c>
      <c r="I118" s="152">
        <f>TRUNC(H118*(I117+I141),2)</f>
        <v>204.51</v>
      </c>
      <c r="J118" s="3"/>
      <c r="K118" s="30"/>
    </row>
    <row r="119" spans="1:11" s="12" customFormat="1" x14ac:dyDescent="0.2">
      <c r="A119" s="126" t="s">
        <v>4</v>
      </c>
      <c r="B119" s="434" t="s">
        <v>98</v>
      </c>
      <c r="C119" s="434"/>
      <c r="D119" s="434"/>
      <c r="E119" s="434"/>
      <c r="F119" s="434"/>
      <c r="G119" s="434"/>
      <c r="H119" s="2"/>
      <c r="I119" s="152"/>
      <c r="J119" s="3"/>
      <c r="K119" s="30"/>
    </row>
    <row r="120" spans="1:11" s="12" customFormat="1" x14ac:dyDescent="0.2">
      <c r="A120" s="126" t="s">
        <v>99</v>
      </c>
      <c r="B120" s="428" t="s">
        <v>100</v>
      </c>
      <c r="C120" s="428"/>
      <c r="D120" s="428"/>
      <c r="E120" s="428"/>
      <c r="F120" s="428"/>
      <c r="G120" s="428"/>
      <c r="H120" s="20">
        <v>1.6500000000000001E-2</v>
      </c>
      <c r="I120" s="152">
        <f>TRUNC(H120*I130,2)</f>
        <v>135.1</v>
      </c>
      <c r="J120" s="3"/>
      <c r="K120" s="30"/>
    </row>
    <row r="121" spans="1:11" s="12" customFormat="1" x14ac:dyDescent="0.2">
      <c r="A121" s="126" t="s">
        <v>101</v>
      </c>
      <c r="B121" s="428" t="s">
        <v>102</v>
      </c>
      <c r="C121" s="428"/>
      <c r="D121" s="428"/>
      <c r="E121" s="428"/>
      <c r="F121" s="428"/>
      <c r="G121" s="428"/>
      <c r="H121" s="20">
        <v>7.5999999999999998E-2</v>
      </c>
      <c r="I121" s="152">
        <f>TRUNC(H121*I130,2)</f>
        <v>622.30999999999995</v>
      </c>
      <c r="J121" s="3"/>
      <c r="K121" s="30"/>
    </row>
    <row r="122" spans="1:11" s="12" customFormat="1" x14ac:dyDescent="0.2">
      <c r="A122" s="126" t="s">
        <v>103</v>
      </c>
      <c r="B122" s="428" t="s">
        <v>104</v>
      </c>
      <c r="C122" s="428"/>
      <c r="D122" s="428"/>
      <c r="E122" s="428"/>
      <c r="F122" s="428"/>
      <c r="G122" s="428"/>
      <c r="H122" s="20">
        <v>0.05</v>
      </c>
      <c r="I122" s="152">
        <f>TRUNC(H122*I130,2)</f>
        <v>409.41</v>
      </c>
      <c r="J122" s="3"/>
      <c r="K122" s="40"/>
    </row>
    <row r="123" spans="1:11" s="12" customFormat="1" x14ac:dyDescent="0.2">
      <c r="A123" s="427" t="s">
        <v>105</v>
      </c>
      <c r="B123" s="427"/>
      <c r="C123" s="427"/>
      <c r="D123" s="427"/>
      <c r="E123" s="427"/>
      <c r="F123" s="427"/>
      <c r="G123" s="427"/>
      <c r="H123" s="123">
        <f>SUM(H117:H122)</f>
        <v>0.20250000000000001</v>
      </c>
      <c r="I123" s="152">
        <f>TRUNC(SUM(I117:I122),2)</f>
        <v>1569.88</v>
      </c>
      <c r="J123" s="3"/>
      <c r="K123" s="30"/>
    </row>
    <row r="124" spans="1:11" s="12" customFormat="1" x14ac:dyDescent="0.2">
      <c r="A124" s="125"/>
      <c r="B124" s="432"/>
      <c r="C124" s="432"/>
      <c r="D124" s="432"/>
      <c r="E124" s="432"/>
      <c r="F124" s="432"/>
      <c r="G124" s="432"/>
      <c r="H124" s="432"/>
      <c r="I124" s="432"/>
      <c r="K124" s="30"/>
    </row>
    <row r="125" spans="1:11" s="12" customFormat="1" hidden="1" x14ac:dyDescent="0.2">
      <c r="A125" s="21" t="s">
        <v>106</v>
      </c>
      <c r="B125" s="491" t="s">
        <v>107</v>
      </c>
      <c r="C125" s="491"/>
      <c r="D125" s="491"/>
      <c r="E125" s="491"/>
      <c r="F125" s="491"/>
      <c r="G125" s="491"/>
      <c r="H125" s="22">
        <f>TRUNC(H120+H121+H122,4)</f>
        <v>0.14249999999999999</v>
      </c>
      <c r="I125" s="172"/>
      <c r="K125" s="30"/>
    </row>
    <row r="126" spans="1:11" s="12" customFormat="1" hidden="1" x14ac:dyDescent="0.2">
      <c r="A126" s="23"/>
      <c r="B126" s="488">
        <v>100</v>
      </c>
      <c r="C126" s="488"/>
      <c r="D126" s="488"/>
      <c r="E126" s="488"/>
      <c r="F126" s="488"/>
      <c r="G126" s="488"/>
      <c r="H126" s="24"/>
      <c r="I126" s="174"/>
      <c r="K126" s="30"/>
    </row>
    <row r="127" spans="1:11" s="12" customFormat="1" hidden="1" x14ac:dyDescent="0.2">
      <c r="A127" s="25"/>
      <c r="B127" s="131"/>
      <c r="C127" s="131"/>
      <c r="D127" s="131"/>
      <c r="E127" s="131"/>
      <c r="F127" s="131"/>
      <c r="G127" s="131"/>
      <c r="H127" s="24"/>
      <c r="I127" s="174"/>
      <c r="K127" s="30"/>
    </row>
    <row r="128" spans="1:11" s="12" customFormat="1" hidden="1" x14ac:dyDescent="0.2">
      <c r="A128" s="23" t="s">
        <v>108</v>
      </c>
      <c r="B128" s="488" t="s">
        <v>109</v>
      </c>
      <c r="C128" s="488"/>
      <c r="D128" s="488"/>
      <c r="E128" s="488"/>
      <c r="F128" s="488"/>
      <c r="G128" s="488"/>
      <c r="H128" s="24"/>
      <c r="I128" s="174">
        <f>TRUNC(I141+I117+I118,2)</f>
        <v>7021.54</v>
      </c>
      <c r="K128" s="30"/>
    </row>
    <row r="129" spans="1:11" s="12" customFormat="1" hidden="1" x14ac:dyDescent="0.2">
      <c r="A129" s="23"/>
      <c r="B129" s="131"/>
      <c r="C129" s="131"/>
      <c r="D129" s="131"/>
      <c r="E129" s="131"/>
      <c r="F129" s="131"/>
      <c r="G129" s="131"/>
      <c r="H129" s="24"/>
      <c r="I129" s="174"/>
      <c r="K129" s="30"/>
    </row>
    <row r="130" spans="1:11" s="12" customFormat="1" hidden="1" x14ac:dyDescent="0.2">
      <c r="A130" s="23" t="s">
        <v>110</v>
      </c>
      <c r="B130" s="488" t="s">
        <v>111</v>
      </c>
      <c r="C130" s="488"/>
      <c r="D130" s="488"/>
      <c r="E130" s="488"/>
      <c r="F130" s="488"/>
      <c r="G130" s="488"/>
      <c r="H130" s="24"/>
      <c r="I130" s="174">
        <f>TRUNC(I128/(1-H125),2)</f>
        <v>8188.38</v>
      </c>
      <c r="K130" s="30"/>
    </row>
    <row r="131" spans="1:11" s="12" customFormat="1" hidden="1" x14ac:dyDescent="0.2">
      <c r="A131" s="23"/>
      <c r="B131" s="131"/>
      <c r="C131" s="131"/>
      <c r="D131" s="131"/>
      <c r="E131" s="131"/>
      <c r="F131" s="131"/>
      <c r="G131" s="131"/>
      <c r="H131" s="24"/>
      <c r="I131" s="174"/>
      <c r="K131" s="30"/>
    </row>
    <row r="132" spans="1:11" s="12" customFormat="1" hidden="1" x14ac:dyDescent="0.2">
      <c r="A132" s="26"/>
      <c r="B132" s="489" t="s">
        <v>112</v>
      </c>
      <c r="C132" s="489"/>
      <c r="D132" s="489"/>
      <c r="E132" s="489"/>
      <c r="F132" s="489"/>
      <c r="G132" s="489"/>
      <c r="H132" s="27"/>
      <c r="I132" s="177">
        <f>TRUNC(I130-I128,2)</f>
        <v>1166.8399999999999</v>
      </c>
      <c r="K132" s="28"/>
    </row>
    <row r="133" spans="1:11" s="12" customFormat="1" ht="2.25" customHeight="1" x14ac:dyDescent="0.2">
      <c r="A133" s="125"/>
      <c r="B133" s="125"/>
      <c r="C133" s="125"/>
      <c r="D133" s="125"/>
      <c r="E133" s="125"/>
      <c r="F133" s="125"/>
      <c r="G133" s="125"/>
      <c r="H133" s="125"/>
      <c r="I133" s="178"/>
      <c r="K133" s="30"/>
    </row>
    <row r="134" spans="1:11" s="12" customFormat="1" x14ac:dyDescent="0.2">
      <c r="A134" s="490" t="s">
        <v>113</v>
      </c>
      <c r="B134" s="490"/>
      <c r="C134" s="490"/>
      <c r="D134" s="490"/>
      <c r="E134" s="490"/>
      <c r="F134" s="490"/>
      <c r="G134" s="490"/>
      <c r="H134" s="490"/>
      <c r="I134" s="490"/>
      <c r="K134" s="29"/>
    </row>
    <row r="135" spans="1:11" s="12" customFormat="1" x14ac:dyDescent="0.2">
      <c r="A135" s="427" t="s">
        <v>114</v>
      </c>
      <c r="B135" s="427"/>
      <c r="C135" s="427"/>
      <c r="D135" s="427"/>
      <c r="E135" s="427"/>
      <c r="F135" s="427"/>
      <c r="G135" s="427"/>
      <c r="H135" s="427"/>
      <c r="I135" s="150" t="s">
        <v>19</v>
      </c>
      <c r="K135" s="30"/>
    </row>
    <row r="136" spans="1:11" s="12" customFormat="1" x14ac:dyDescent="0.2">
      <c r="A136" s="124" t="s">
        <v>1</v>
      </c>
      <c r="B136" s="428" t="str">
        <f>A27</f>
        <v>MÓDULO 1 - COMPOSIÇÃO DA REMUNERAÇÃO</v>
      </c>
      <c r="C136" s="428"/>
      <c r="D136" s="428"/>
      <c r="E136" s="428"/>
      <c r="F136" s="428"/>
      <c r="G136" s="428"/>
      <c r="H136" s="428"/>
      <c r="I136" s="152">
        <f>I34</f>
        <v>3161.4</v>
      </c>
      <c r="K136" s="30"/>
    </row>
    <row r="137" spans="1:11" s="12" customFormat="1" x14ac:dyDescent="0.2">
      <c r="A137" s="124" t="s">
        <v>2</v>
      </c>
      <c r="B137" s="428" t="str">
        <f>A36</f>
        <v>MÓDULO 2 – ENCARGOS E BENEFÍCIOS ANUAIS, MENSAIS E DIÁRIOS</v>
      </c>
      <c r="C137" s="428"/>
      <c r="D137" s="428"/>
      <c r="E137" s="428"/>
      <c r="F137" s="428"/>
      <c r="G137" s="428"/>
      <c r="H137" s="428"/>
      <c r="I137" s="152">
        <f>I77</f>
        <v>3105.43</v>
      </c>
      <c r="K137" s="30"/>
    </row>
    <row r="138" spans="1:11" s="12" customFormat="1" x14ac:dyDescent="0.2">
      <c r="A138" s="124" t="s">
        <v>4</v>
      </c>
      <c r="B138" s="428" t="str">
        <f>A79</f>
        <v>MÓDULO 3 – PROVISÃO PARA RESCISÃO</v>
      </c>
      <c r="C138" s="428"/>
      <c r="D138" s="428"/>
      <c r="E138" s="428"/>
      <c r="F138" s="428"/>
      <c r="G138" s="428"/>
      <c r="H138" s="428"/>
      <c r="I138" s="152">
        <f>I86</f>
        <v>227.9</v>
      </c>
      <c r="K138" s="29"/>
    </row>
    <row r="139" spans="1:11" s="12" customFormat="1" x14ac:dyDescent="0.2">
      <c r="A139" s="124" t="s">
        <v>6</v>
      </c>
      <c r="B139" s="428" t="str">
        <f>A88</f>
        <v>MÓDULO 4 – CUSTO DE REPOSIÇÃO DO PROFISSIONAL AUSENTE</v>
      </c>
      <c r="C139" s="428"/>
      <c r="D139" s="428"/>
      <c r="E139" s="428"/>
      <c r="F139" s="428"/>
      <c r="G139" s="428"/>
      <c r="H139" s="428"/>
      <c r="I139" s="152">
        <f>I106</f>
        <v>61.09</v>
      </c>
      <c r="K139" s="29"/>
    </row>
    <row r="140" spans="1:11" s="12" customFormat="1" x14ac:dyDescent="0.2">
      <c r="A140" s="124" t="s">
        <v>23</v>
      </c>
      <c r="B140" s="428" t="str">
        <f>A108</f>
        <v>MÓDULO 5 – INSUMOS DIVERSOS</v>
      </c>
      <c r="C140" s="428"/>
      <c r="D140" s="428"/>
      <c r="E140" s="428"/>
      <c r="F140" s="428"/>
      <c r="G140" s="428"/>
      <c r="H140" s="428"/>
      <c r="I140" s="152">
        <f>I113</f>
        <v>62.66</v>
      </c>
      <c r="K140" s="30"/>
    </row>
    <row r="141" spans="1:11" s="12" customFormat="1" x14ac:dyDescent="0.2">
      <c r="A141" s="126"/>
      <c r="B141" s="427" t="s">
        <v>115</v>
      </c>
      <c r="C141" s="427"/>
      <c r="D141" s="427"/>
      <c r="E141" s="427"/>
      <c r="F141" s="427"/>
      <c r="G141" s="427"/>
      <c r="H141" s="427"/>
      <c r="I141" s="152">
        <f>TRUNC(SUM(I136:I140),2)</f>
        <v>6618.48</v>
      </c>
      <c r="J141" s="40"/>
      <c r="K141" s="28"/>
    </row>
    <row r="142" spans="1:11" s="12" customFormat="1" x14ac:dyDescent="0.2">
      <c r="A142" s="124" t="s">
        <v>25</v>
      </c>
      <c r="B142" s="428" t="str">
        <f>A115</f>
        <v>MÓDULO 6 – CUSTOS INDIRETOS, TRIBUTOS E LUCRO</v>
      </c>
      <c r="C142" s="428"/>
      <c r="D142" s="428"/>
      <c r="E142" s="428"/>
      <c r="F142" s="428"/>
      <c r="G142" s="428"/>
      <c r="H142" s="428"/>
      <c r="I142" s="152">
        <f>I123</f>
        <v>1569.88</v>
      </c>
    </row>
    <row r="143" spans="1:11" s="12" customFormat="1" x14ac:dyDescent="0.2">
      <c r="A143" s="427" t="s">
        <v>116</v>
      </c>
      <c r="B143" s="427"/>
      <c r="C143" s="427"/>
      <c r="D143" s="427"/>
      <c r="E143" s="427"/>
      <c r="F143" s="427"/>
      <c r="G143" s="427"/>
      <c r="H143" s="427"/>
      <c r="I143" s="179">
        <f>TRUNC(SUM(I141:I142),2)</f>
        <v>8188.36</v>
      </c>
      <c r="J143" s="56"/>
      <c r="K143" s="56"/>
    </row>
    <row r="144" spans="1:11" s="12" customFormat="1" x14ac:dyDescent="0.2">
      <c r="A144" s="30"/>
      <c r="B144" s="30"/>
      <c r="C144" s="30"/>
      <c r="D144" s="30"/>
      <c r="E144" s="30"/>
      <c r="F144" s="30"/>
      <c r="G144" s="30"/>
      <c r="H144" s="30"/>
      <c r="I144" s="181"/>
    </row>
  </sheetData>
  <mergeCells count="147">
    <mergeCell ref="A1:I1"/>
    <mergeCell ref="A2:I2"/>
    <mergeCell ref="A4:I4"/>
    <mergeCell ref="A6:I6"/>
    <mergeCell ref="A8:I8"/>
    <mergeCell ref="B138:H138"/>
    <mergeCell ref="B139:H139"/>
    <mergeCell ref="B140:H140"/>
    <mergeCell ref="B141:H141"/>
    <mergeCell ref="B116:G116"/>
    <mergeCell ref="B117:G117"/>
    <mergeCell ref="B118:G118"/>
    <mergeCell ref="B119:G119"/>
    <mergeCell ref="B120:G120"/>
    <mergeCell ref="B121:G121"/>
    <mergeCell ref="B111:G111"/>
    <mergeCell ref="B112:G112"/>
    <mergeCell ref="A113:G113"/>
    <mergeCell ref="A114:I114"/>
    <mergeCell ref="A115:I115"/>
    <mergeCell ref="B105:H105"/>
    <mergeCell ref="A106:H106"/>
    <mergeCell ref="A107:I107"/>
    <mergeCell ref="A108:I108"/>
    <mergeCell ref="B142:H142"/>
    <mergeCell ref="A143:H143"/>
    <mergeCell ref="B130:G130"/>
    <mergeCell ref="B132:G132"/>
    <mergeCell ref="A134:I134"/>
    <mergeCell ref="A135:H135"/>
    <mergeCell ref="B136:H136"/>
    <mergeCell ref="B137:H137"/>
    <mergeCell ref="B122:G122"/>
    <mergeCell ref="A123:G123"/>
    <mergeCell ref="B124:I124"/>
    <mergeCell ref="B125:G125"/>
    <mergeCell ref="B126:G126"/>
    <mergeCell ref="B128:G128"/>
    <mergeCell ref="B109:G109"/>
    <mergeCell ref="B110:G110"/>
    <mergeCell ref="B99:G99"/>
    <mergeCell ref="A100:G100"/>
    <mergeCell ref="A101:I101"/>
    <mergeCell ref="A102:I102"/>
    <mergeCell ref="A103:H103"/>
    <mergeCell ref="B104:H104"/>
    <mergeCell ref="B93:G93"/>
    <mergeCell ref="B94:G94"/>
    <mergeCell ref="B95:G95"/>
    <mergeCell ref="A96:G96"/>
    <mergeCell ref="A97:I97"/>
    <mergeCell ref="A98:G98"/>
    <mergeCell ref="A87:I87"/>
    <mergeCell ref="A88:I88"/>
    <mergeCell ref="A89:G89"/>
    <mergeCell ref="B90:G90"/>
    <mergeCell ref="B91:G91"/>
    <mergeCell ref="B92:G92"/>
    <mergeCell ref="B82:G82"/>
    <mergeCell ref="B83:G83"/>
    <mergeCell ref="B84:G84"/>
    <mergeCell ref="B85:G85"/>
    <mergeCell ref="A86:G86"/>
    <mergeCell ref="B75:H75"/>
    <mergeCell ref="B76:H76"/>
    <mergeCell ref="A77:H77"/>
    <mergeCell ref="A79:I79"/>
    <mergeCell ref="B80:G80"/>
    <mergeCell ref="B81:G81"/>
    <mergeCell ref="A69:I69"/>
    <mergeCell ref="A70:I70"/>
    <mergeCell ref="A71:I71"/>
    <mergeCell ref="A72:I72"/>
    <mergeCell ref="A73:H73"/>
    <mergeCell ref="B74:H74"/>
    <mergeCell ref="B64:G64"/>
    <mergeCell ref="B65:G65"/>
    <mergeCell ref="A66:H66"/>
    <mergeCell ref="A67:I67"/>
    <mergeCell ref="A68:I68"/>
    <mergeCell ref="J68:R68"/>
    <mergeCell ref="A58:I58"/>
    <mergeCell ref="A59:G59"/>
    <mergeCell ref="B60:G60"/>
    <mergeCell ref="B61:G61"/>
    <mergeCell ref="B62:G62"/>
    <mergeCell ref="B63:G63"/>
    <mergeCell ref="B52:G52"/>
    <mergeCell ref="B53:G53"/>
    <mergeCell ref="B54:G54"/>
    <mergeCell ref="B55:G55"/>
    <mergeCell ref="B56:G56"/>
    <mergeCell ref="A57:G57"/>
    <mergeCell ref="A46:I46"/>
    <mergeCell ref="A47:G47"/>
    <mergeCell ref="B48:G48"/>
    <mergeCell ref="B49:G49"/>
    <mergeCell ref="B50:G51"/>
    <mergeCell ref="I50:I51"/>
    <mergeCell ref="B39:G39"/>
    <mergeCell ref="B41:G41"/>
    <mergeCell ref="A42:I42"/>
    <mergeCell ref="A43:I43"/>
    <mergeCell ref="A44:I44"/>
    <mergeCell ref="A45:I45"/>
    <mergeCell ref="B40:G40"/>
    <mergeCell ref="B33:G33"/>
    <mergeCell ref="A34:H34"/>
    <mergeCell ref="A35:I35"/>
    <mergeCell ref="A36:I36"/>
    <mergeCell ref="A37:G37"/>
    <mergeCell ref="B38:G38"/>
    <mergeCell ref="B28:G28"/>
    <mergeCell ref="B29:G29"/>
    <mergeCell ref="B30:G30"/>
    <mergeCell ref="B31:G31"/>
    <mergeCell ref="B32:G32"/>
    <mergeCell ref="B24:G24"/>
    <mergeCell ref="H24:I24"/>
    <mergeCell ref="B25:G25"/>
    <mergeCell ref="H25:I25"/>
    <mergeCell ref="A26:I26"/>
    <mergeCell ref="A27:I27"/>
    <mergeCell ref="A20:I20"/>
    <mergeCell ref="B21:G21"/>
    <mergeCell ref="H21:I21"/>
    <mergeCell ref="B22:G22"/>
    <mergeCell ref="H22:I22"/>
    <mergeCell ref="B23:G23"/>
    <mergeCell ref="H23:I23"/>
    <mergeCell ref="A3:I3"/>
    <mergeCell ref="A10:I10"/>
    <mergeCell ref="B11:G11"/>
    <mergeCell ref="H11:I11"/>
    <mergeCell ref="A16:I16"/>
    <mergeCell ref="A17:B17"/>
    <mergeCell ref="C17:D17"/>
    <mergeCell ref="E17:I17"/>
    <mergeCell ref="A18:B18"/>
    <mergeCell ref="C18:D18"/>
    <mergeCell ref="E18:I18"/>
    <mergeCell ref="B12:G12"/>
    <mergeCell ref="H12:I12"/>
    <mergeCell ref="B13:G13"/>
    <mergeCell ref="H13:I13"/>
    <mergeCell ref="B14:G14"/>
    <mergeCell ref="H14:I14"/>
  </mergeCells>
  <pageMargins left="0.51181102362204722" right="0.51181102362204722" top="1.6535433070866143" bottom="1.299212598425197" header="0.11811023622047245" footer="0.31496062992125984"/>
  <pageSetup paperSize="9" scale="74" orientation="portrait" r:id="rId1"/>
  <rowBreaks count="1" manualBreakCount="1">
    <brk id="70" min="6" max="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K150"/>
  <sheetViews>
    <sheetView view="pageBreakPreview" topLeftCell="A6" zoomScale="140" zoomScaleNormal="100" zoomScaleSheetLayoutView="140" workbookViewId="0">
      <selection activeCell="E17" sqref="E17:I17"/>
    </sheetView>
  </sheetViews>
  <sheetFormatPr defaultRowHeight="12.75" x14ac:dyDescent="0.2"/>
  <cols>
    <col min="1" max="1" width="9.140625" style="12"/>
    <col min="2" max="2" width="11.7109375" style="180" customWidth="1"/>
    <col min="3" max="6" width="9.140625" style="180"/>
    <col min="7" max="7" width="13.42578125" style="180" customWidth="1"/>
    <col min="8" max="8" width="14.140625" style="180" customWidth="1"/>
    <col min="9" max="9" width="16.42578125" style="180" bestFit="1" customWidth="1"/>
    <col min="10" max="10" width="9.140625" style="12"/>
    <col min="11" max="11" width="14.28515625" style="12" bestFit="1" customWidth="1"/>
    <col min="12" max="12" width="9.140625" style="12"/>
    <col min="13" max="13" width="13.7109375" style="12" bestFit="1" customWidth="1"/>
    <col min="14" max="1025" width="9.140625" style="12"/>
    <col min="1026" max="16384" width="9.140625" style="30"/>
  </cols>
  <sheetData>
    <row r="1" spans="1:15" x14ac:dyDescent="0.2">
      <c r="A1" s="479" t="s">
        <v>318</v>
      </c>
      <c r="B1" s="479"/>
      <c r="C1" s="479"/>
      <c r="D1" s="479"/>
      <c r="E1" s="479"/>
      <c r="F1" s="479"/>
      <c r="G1" s="479"/>
      <c r="H1" s="479"/>
      <c r="I1" s="479"/>
    </row>
    <row r="2" spans="1:15" x14ac:dyDescent="0.2">
      <c r="A2" s="479" t="s">
        <v>319</v>
      </c>
      <c r="B2" s="479"/>
      <c r="C2" s="479"/>
      <c r="D2" s="479"/>
      <c r="E2" s="479"/>
      <c r="F2" s="479"/>
      <c r="G2" s="479"/>
      <c r="H2" s="479"/>
      <c r="I2" s="479"/>
    </row>
    <row r="3" spans="1:15" x14ac:dyDescent="0.2">
      <c r="A3" s="479" t="s">
        <v>320</v>
      </c>
      <c r="B3" s="479"/>
      <c r="C3" s="479"/>
      <c r="D3" s="479"/>
      <c r="E3" s="479"/>
      <c r="F3" s="479"/>
      <c r="G3" s="479"/>
      <c r="H3" s="479"/>
      <c r="I3" s="479"/>
    </row>
    <row r="4" spans="1:15" x14ac:dyDescent="0.2">
      <c r="A4" s="470"/>
      <c r="B4" s="470"/>
      <c r="C4" s="470"/>
      <c r="D4" s="470"/>
      <c r="E4" s="470"/>
      <c r="F4" s="470"/>
      <c r="G4" s="470"/>
      <c r="H4" s="470"/>
      <c r="I4" s="470"/>
    </row>
    <row r="5" spans="1:15" s="12" customFormat="1" ht="12.75" customHeight="1" x14ac:dyDescent="0.2">
      <c r="A5" s="125"/>
      <c r="B5" s="146"/>
      <c r="C5" s="146"/>
      <c r="D5" s="146"/>
      <c r="E5" s="146"/>
      <c r="F5" s="146"/>
      <c r="G5" s="146"/>
      <c r="H5" s="146"/>
      <c r="I5" s="146"/>
      <c r="J5" s="30"/>
      <c r="K5" s="30"/>
      <c r="L5" s="30"/>
      <c r="M5" s="30"/>
      <c r="O5" s="30"/>
    </row>
    <row r="6" spans="1:15" s="12" customFormat="1" ht="12.75" customHeight="1" x14ac:dyDescent="0.2">
      <c r="A6" s="480" t="s">
        <v>347</v>
      </c>
      <c r="B6" s="480"/>
      <c r="C6" s="480"/>
      <c r="D6" s="480"/>
      <c r="E6" s="480"/>
      <c r="F6" s="480"/>
      <c r="G6" s="480"/>
      <c r="H6" s="480"/>
      <c r="I6" s="480"/>
      <c r="J6" s="30"/>
      <c r="K6" s="30"/>
      <c r="L6" s="30"/>
      <c r="M6" s="30"/>
      <c r="O6" s="30"/>
    </row>
    <row r="7" spans="1:15" s="12" customFormat="1" ht="12.75" customHeight="1" x14ac:dyDescent="0.2">
      <c r="A7" s="134"/>
      <c r="B7" s="147"/>
      <c r="C7" s="147"/>
      <c r="D7" s="147"/>
      <c r="E7" s="147"/>
      <c r="F7" s="147"/>
      <c r="G7" s="147"/>
      <c r="H7" s="147"/>
      <c r="I7" s="147"/>
      <c r="J7" s="30"/>
      <c r="K7" s="30"/>
      <c r="L7" s="30"/>
      <c r="M7" s="30"/>
      <c r="O7" s="30"/>
    </row>
    <row r="8" spans="1:15" s="12" customFormat="1" x14ac:dyDescent="0.2">
      <c r="A8" s="480" t="s">
        <v>461</v>
      </c>
      <c r="B8" s="480"/>
      <c r="C8" s="480"/>
      <c r="D8" s="480"/>
      <c r="E8" s="480"/>
      <c r="F8" s="480"/>
      <c r="G8" s="480"/>
      <c r="H8" s="480"/>
      <c r="I8" s="480"/>
      <c r="J8" s="30"/>
      <c r="K8" s="30"/>
      <c r="L8" s="30"/>
      <c r="M8" s="30"/>
      <c r="O8" s="30"/>
    </row>
    <row r="9" spans="1:15" s="12" customFormat="1" x14ac:dyDescent="0.2">
      <c r="A9" s="1"/>
      <c r="B9" s="148"/>
      <c r="C9" s="148"/>
      <c r="D9" s="148"/>
      <c r="E9" s="148"/>
      <c r="F9" s="148"/>
      <c r="G9" s="148"/>
      <c r="H9" s="148"/>
      <c r="I9" s="148"/>
      <c r="J9" s="30"/>
      <c r="K9" s="30"/>
      <c r="L9" s="30"/>
      <c r="M9" s="30"/>
      <c r="O9" s="30"/>
    </row>
    <row r="10" spans="1:15" s="12" customFormat="1" x14ac:dyDescent="0.2">
      <c r="A10" s="473" t="s">
        <v>0</v>
      </c>
      <c r="B10" s="473"/>
      <c r="C10" s="473"/>
      <c r="D10" s="473"/>
      <c r="E10" s="473"/>
      <c r="F10" s="473"/>
      <c r="G10" s="473"/>
      <c r="H10" s="473"/>
      <c r="I10" s="473"/>
      <c r="J10" s="30"/>
      <c r="K10" s="30"/>
      <c r="L10" s="30"/>
      <c r="M10" s="30"/>
      <c r="O10" s="30"/>
    </row>
    <row r="11" spans="1:15" s="12" customFormat="1" x14ac:dyDescent="0.2">
      <c r="A11" s="124" t="s">
        <v>1</v>
      </c>
      <c r="B11" s="494" t="s">
        <v>315</v>
      </c>
      <c r="C11" s="494"/>
      <c r="D11" s="494"/>
      <c r="E11" s="494"/>
      <c r="F11" s="494"/>
      <c r="G11" s="494"/>
      <c r="H11" s="478" t="s">
        <v>463</v>
      </c>
      <c r="I11" s="478"/>
      <c r="J11" s="30"/>
      <c r="K11" s="30"/>
      <c r="L11" s="30"/>
      <c r="M11" s="30"/>
      <c r="O11" s="30"/>
    </row>
    <row r="12" spans="1:15" s="12" customFormat="1" x14ac:dyDescent="0.2">
      <c r="A12" s="124" t="s">
        <v>2</v>
      </c>
      <c r="B12" s="494" t="s">
        <v>3</v>
      </c>
      <c r="C12" s="494"/>
      <c r="D12" s="494"/>
      <c r="E12" s="494"/>
      <c r="F12" s="494"/>
      <c r="G12" s="494"/>
      <c r="H12" s="495" t="s">
        <v>118</v>
      </c>
      <c r="I12" s="495"/>
      <c r="J12" s="30"/>
      <c r="K12" s="30"/>
      <c r="L12" s="30"/>
      <c r="M12" s="30"/>
      <c r="O12" s="30"/>
    </row>
    <row r="13" spans="1:15" s="12" customFormat="1" x14ac:dyDescent="0.2">
      <c r="A13" s="124" t="s">
        <v>4</v>
      </c>
      <c r="B13" s="494" t="s">
        <v>5</v>
      </c>
      <c r="C13" s="494"/>
      <c r="D13" s="494"/>
      <c r="E13" s="494"/>
      <c r="F13" s="494"/>
      <c r="G13" s="494"/>
      <c r="H13" s="498" t="s">
        <v>480</v>
      </c>
      <c r="I13" s="498"/>
      <c r="J13" s="30"/>
      <c r="K13" s="30"/>
      <c r="L13" s="30"/>
      <c r="M13" s="30"/>
      <c r="O13" s="30"/>
    </row>
    <row r="14" spans="1:15" s="12" customFormat="1" x14ac:dyDescent="0.2">
      <c r="A14" s="124" t="s">
        <v>6</v>
      </c>
      <c r="B14" s="494" t="s">
        <v>7</v>
      </c>
      <c r="C14" s="494"/>
      <c r="D14" s="494"/>
      <c r="E14" s="494"/>
      <c r="F14" s="494"/>
      <c r="G14" s="494"/>
      <c r="H14" s="495">
        <v>12</v>
      </c>
      <c r="I14" s="495"/>
      <c r="J14" s="30"/>
      <c r="K14" s="30"/>
      <c r="L14" s="30"/>
      <c r="M14" s="30"/>
      <c r="O14" s="30"/>
    </row>
    <row r="15" spans="1:15" s="12" customFormat="1" x14ac:dyDescent="0.2">
      <c r="A15" s="125"/>
      <c r="B15" s="149"/>
      <c r="C15" s="149"/>
      <c r="D15" s="149"/>
      <c r="E15" s="149"/>
      <c r="F15" s="149"/>
      <c r="G15" s="149"/>
      <c r="H15" s="146"/>
      <c r="I15" s="146"/>
      <c r="J15" s="30"/>
      <c r="K15" s="30"/>
      <c r="L15" s="30"/>
      <c r="M15" s="30"/>
      <c r="O15" s="30"/>
    </row>
    <row r="16" spans="1:15" s="12" customFormat="1" x14ac:dyDescent="0.2">
      <c r="A16" s="473" t="s">
        <v>8</v>
      </c>
      <c r="B16" s="473"/>
      <c r="C16" s="473"/>
      <c r="D16" s="473"/>
      <c r="E16" s="473"/>
      <c r="F16" s="473"/>
      <c r="G16" s="473"/>
      <c r="H16" s="473"/>
      <c r="I16" s="473"/>
      <c r="J16" s="30"/>
      <c r="K16" s="30"/>
      <c r="L16" s="30"/>
      <c r="M16" s="30"/>
      <c r="O16" s="30"/>
    </row>
    <row r="17" spans="1:15" s="12" customFormat="1" x14ac:dyDescent="0.2">
      <c r="A17" s="471" t="s">
        <v>9</v>
      </c>
      <c r="B17" s="471"/>
      <c r="C17" s="495" t="s">
        <v>10</v>
      </c>
      <c r="D17" s="495"/>
      <c r="E17" s="495" t="s">
        <v>11</v>
      </c>
      <c r="F17" s="495"/>
      <c r="G17" s="495"/>
      <c r="H17" s="495"/>
      <c r="I17" s="495"/>
      <c r="J17" s="30"/>
      <c r="K17" s="30"/>
      <c r="L17" s="30"/>
      <c r="M17" s="30"/>
      <c r="O17" s="30"/>
    </row>
    <row r="18" spans="1:15" s="12" customFormat="1" ht="31.5" customHeight="1" x14ac:dyDescent="0.2">
      <c r="A18" s="496" t="s">
        <v>367</v>
      </c>
      <c r="B18" s="468"/>
      <c r="C18" s="497" t="s">
        <v>369</v>
      </c>
      <c r="D18" s="497"/>
      <c r="E18" s="497">
        <v>2</v>
      </c>
      <c r="F18" s="497"/>
      <c r="G18" s="497"/>
      <c r="H18" s="497"/>
      <c r="I18" s="497"/>
      <c r="J18" s="30"/>
      <c r="K18" s="30"/>
      <c r="L18" s="30"/>
      <c r="M18" s="30"/>
      <c r="O18" s="30"/>
    </row>
    <row r="19" spans="1:15" s="12" customFormat="1" x14ac:dyDescent="0.2">
      <c r="A19" s="125"/>
      <c r="B19" s="149"/>
      <c r="C19" s="149"/>
      <c r="D19" s="149"/>
      <c r="E19" s="149"/>
      <c r="F19" s="149"/>
      <c r="G19" s="149"/>
      <c r="H19" s="146"/>
      <c r="I19" s="146"/>
      <c r="J19" s="30"/>
      <c r="K19" s="30"/>
      <c r="L19" s="30"/>
      <c r="M19" s="30"/>
      <c r="O19" s="30"/>
    </row>
    <row r="20" spans="1:15" s="12" customFormat="1" x14ac:dyDescent="0.2">
      <c r="A20" s="473" t="s">
        <v>330</v>
      </c>
      <c r="B20" s="473"/>
      <c r="C20" s="473"/>
      <c r="D20" s="473"/>
      <c r="E20" s="473"/>
      <c r="F20" s="473"/>
      <c r="G20" s="473"/>
      <c r="H20" s="473"/>
      <c r="I20" s="473"/>
      <c r="J20" s="30"/>
      <c r="K20" s="30"/>
      <c r="L20" s="30"/>
      <c r="M20" s="30"/>
      <c r="O20" s="30"/>
    </row>
    <row r="21" spans="1:15" s="12" customFormat="1" ht="24.75" customHeight="1" x14ac:dyDescent="0.2">
      <c r="A21" s="124">
        <v>1</v>
      </c>
      <c r="B21" s="494" t="s">
        <v>12</v>
      </c>
      <c r="C21" s="494"/>
      <c r="D21" s="494"/>
      <c r="E21" s="494"/>
      <c r="F21" s="494"/>
      <c r="G21" s="494"/>
      <c r="H21" s="499" t="str">
        <f>A18</f>
        <v>VIGILANTE MOTORIZADO DIURNO</v>
      </c>
      <c r="I21" s="499"/>
      <c r="J21" s="30"/>
      <c r="K21" s="30"/>
      <c r="L21" s="30"/>
      <c r="M21" s="30"/>
      <c r="O21" s="30"/>
    </row>
    <row r="22" spans="1:15" s="12" customFormat="1" x14ac:dyDescent="0.2">
      <c r="A22" s="124">
        <v>2</v>
      </c>
      <c r="B22" s="494" t="s">
        <v>13</v>
      </c>
      <c r="C22" s="494"/>
      <c r="D22" s="494"/>
      <c r="E22" s="494"/>
      <c r="F22" s="494"/>
      <c r="G22" s="494"/>
      <c r="H22" s="495"/>
      <c r="I22" s="495"/>
      <c r="J22" s="30"/>
      <c r="K22" s="30"/>
      <c r="L22" s="30"/>
      <c r="M22" s="30"/>
      <c r="O22" s="30"/>
    </row>
    <row r="23" spans="1:15" s="12" customFormat="1" x14ac:dyDescent="0.2">
      <c r="A23" s="124">
        <v>3</v>
      </c>
      <c r="B23" s="494" t="s">
        <v>326</v>
      </c>
      <c r="C23" s="494"/>
      <c r="D23" s="494"/>
      <c r="E23" s="494"/>
      <c r="F23" s="494"/>
      <c r="G23" s="494"/>
      <c r="H23" s="501">
        <v>2411.9</v>
      </c>
      <c r="I23" s="501"/>
      <c r="J23" s="30"/>
      <c r="K23" s="132"/>
      <c r="L23" s="30"/>
      <c r="M23" s="30"/>
      <c r="O23" s="30"/>
    </row>
    <row r="24" spans="1:15" s="12" customFormat="1" ht="27" customHeight="1" x14ac:dyDescent="0.2">
      <c r="A24" s="124">
        <v>4</v>
      </c>
      <c r="B24" s="494" t="s">
        <v>14</v>
      </c>
      <c r="C24" s="494"/>
      <c r="D24" s="494"/>
      <c r="E24" s="494"/>
      <c r="F24" s="494"/>
      <c r="G24" s="494"/>
      <c r="H24" s="499" t="str">
        <f>H21</f>
        <v>VIGILANTE MOTORIZADO DIURNO</v>
      </c>
      <c r="I24" s="499"/>
      <c r="J24" s="30"/>
      <c r="K24" s="30"/>
      <c r="L24" s="30"/>
      <c r="M24" s="30"/>
      <c r="O24" s="30"/>
    </row>
    <row r="25" spans="1:15" s="12" customFormat="1" x14ac:dyDescent="0.2">
      <c r="A25" s="124">
        <v>5</v>
      </c>
      <c r="B25" s="494" t="s">
        <v>15</v>
      </c>
      <c r="C25" s="494"/>
      <c r="D25" s="494"/>
      <c r="E25" s="494"/>
      <c r="F25" s="494"/>
      <c r="G25" s="494"/>
      <c r="H25" s="500">
        <v>43466</v>
      </c>
      <c r="I25" s="500"/>
      <c r="J25" s="30"/>
      <c r="K25" s="30"/>
      <c r="L25" s="30"/>
      <c r="M25" s="30"/>
      <c r="O25" s="30"/>
    </row>
    <row r="26" spans="1:15" s="12" customFormat="1" x14ac:dyDescent="0.2">
      <c r="A26" s="470"/>
      <c r="B26" s="470"/>
      <c r="C26" s="470"/>
      <c r="D26" s="470"/>
      <c r="E26" s="470"/>
      <c r="F26" s="470"/>
      <c r="G26" s="470"/>
      <c r="H26" s="470"/>
      <c r="I26" s="470"/>
      <c r="J26" s="30"/>
      <c r="K26" s="30"/>
      <c r="L26" s="30"/>
      <c r="M26" s="30"/>
      <c r="O26" s="30"/>
    </row>
    <row r="27" spans="1:15" s="12" customFormat="1" x14ac:dyDescent="0.2">
      <c r="A27" s="431" t="s">
        <v>16</v>
      </c>
      <c r="B27" s="431"/>
      <c r="C27" s="431"/>
      <c r="D27" s="431"/>
      <c r="E27" s="431"/>
      <c r="F27" s="431"/>
      <c r="G27" s="431"/>
      <c r="H27" s="431"/>
      <c r="I27" s="431"/>
      <c r="J27" s="30"/>
      <c r="K27" s="30"/>
      <c r="L27" s="30"/>
      <c r="M27" s="30"/>
      <c r="O27" s="30"/>
    </row>
    <row r="28" spans="1:15" s="12" customFormat="1" x14ac:dyDescent="0.2">
      <c r="A28" s="126">
        <v>1</v>
      </c>
      <c r="B28" s="508" t="s">
        <v>17</v>
      </c>
      <c r="C28" s="508"/>
      <c r="D28" s="508"/>
      <c r="E28" s="508"/>
      <c r="F28" s="508"/>
      <c r="G28" s="508"/>
      <c r="H28" s="150" t="s">
        <v>18</v>
      </c>
      <c r="I28" s="150" t="s">
        <v>19</v>
      </c>
      <c r="J28" s="30"/>
      <c r="K28" s="30"/>
      <c r="L28" s="30"/>
      <c r="M28" s="30"/>
      <c r="O28" s="30"/>
    </row>
    <row r="29" spans="1:15" s="12" customFormat="1" x14ac:dyDescent="0.2">
      <c r="A29" s="126" t="s">
        <v>1</v>
      </c>
      <c r="B29" s="494" t="s">
        <v>20</v>
      </c>
      <c r="C29" s="494"/>
      <c r="D29" s="494"/>
      <c r="E29" s="494"/>
      <c r="F29" s="494"/>
      <c r="G29" s="494"/>
      <c r="H29" s="151"/>
      <c r="I29" s="152">
        <f>H23</f>
        <v>2411.9</v>
      </c>
      <c r="J29" s="30"/>
      <c r="K29" s="30"/>
      <c r="L29" s="30"/>
      <c r="M29" s="30"/>
      <c r="O29" s="30"/>
    </row>
    <row r="30" spans="1:15" s="12" customFormat="1" x14ac:dyDescent="0.2">
      <c r="A30" s="126" t="s">
        <v>2</v>
      </c>
      <c r="B30" s="509" t="s">
        <v>401</v>
      </c>
      <c r="C30" s="509"/>
      <c r="D30" s="509"/>
      <c r="E30" s="509"/>
      <c r="F30" s="509"/>
      <c r="G30" s="509"/>
      <c r="H30" s="364"/>
      <c r="I30" s="287"/>
      <c r="J30" s="289"/>
      <c r="K30" s="30"/>
      <c r="L30" s="30"/>
      <c r="M30" s="30"/>
      <c r="O30" s="30"/>
    </row>
    <row r="31" spans="1:15" s="12" customFormat="1" x14ac:dyDescent="0.2">
      <c r="A31" s="189" t="s">
        <v>469</v>
      </c>
      <c r="B31" s="502" t="s">
        <v>471</v>
      </c>
      <c r="C31" s="503"/>
      <c r="D31" s="503"/>
      <c r="E31" s="503"/>
      <c r="F31" s="503"/>
      <c r="G31" s="504"/>
      <c r="H31" s="153">
        <v>0.3</v>
      </c>
      <c r="I31" s="152"/>
      <c r="J31" s="289"/>
      <c r="K31" s="30"/>
      <c r="L31" s="30"/>
      <c r="M31" s="30"/>
      <c r="O31" s="30"/>
    </row>
    <row r="32" spans="1:15" s="12" customFormat="1" x14ac:dyDescent="0.2">
      <c r="A32" s="189" t="s">
        <v>470</v>
      </c>
      <c r="B32" s="502" t="s">
        <v>472</v>
      </c>
      <c r="C32" s="503"/>
      <c r="D32" s="503"/>
      <c r="E32" s="503"/>
      <c r="F32" s="503"/>
      <c r="G32" s="504"/>
      <c r="H32" s="153">
        <v>0.1</v>
      </c>
      <c r="I32" s="152"/>
      <c r="J32" s="289"/>
      <c r="K32" s="30"/>
      <c r="L32" s="30"/>
      <c r="M32" s="30"/>
      <c r="O32" s="30"/>
    </row>
    <row r="33" spans="1:15" s="12" customFormat="1" x14ac:dyDescent="0.2">
      <c r="A33" s="189"/>
      <c r="B33" s="505" t="s">
        <v>473</v>
      </c>
      <c r="C33" s="506"/>
      <c r="D33" s="506"/>
      <c r="E33" s="506"/>
      <c r="F33" s="506"/>
      <c r="G33" s="507"/>
      <c r="H33" s="409">
        <f>SUM(H31:H32)</f>
        <v>0.4</v>
      </c>
      <c r="I33" s="152">
        <f>I29*H33</f>
        <v>964.7600000000001</v>
      </c>
      <c r="J33" s="289"/>
      <c r="K33" s="30"/>
      <c r="L33" s="30"/>
      <c r="M33" s="30"/>
      <c r="O33" s="30"/>
    </row>
    <row r="34" spans="1:15" s="12" customFormat="1" x14ac:dyDescent="0.2">
      <c r="A34" s="126" t="s">
        <v>6</v>
      </c>
      <c r="B34" s="509" t="s">
        <v>22</v>
      </c>
      <c r="C34" s="509"/>
      <c r="D34" s="509"/>
      <c r="E34" s="509"/>
      <c r="F34" s="509"/>
      <c r="G34" s="509"/>
      <c r="H34" s="364">
        <v>0.2</v>
      </c>
      <c r="I34" s="287">
        <f>((((I29+I30)/220)*H34)*8*15)</f>
        <v>263.11636363636364</v>
      </c>
      <c r="J34" s="30"/>
      <c r="K34" s="30"/>
      <c r="L34" s="30"/>
      <c r="M34" s="30"/>
      <c r="O34" s="30"/>
    </row>
    <row r="35" spans="1:15" s="12" customFormat="1" x14ac:dyDescent="0.2">
      <c r="A35" s="126" t="s">
        <v>23</v>
      </c>
      <c r="B35" s="494" t="s">
        <v>24</v>
      </c>
      <c r="C35" s="494"/>
      <c r="D35" s="494"/>
      <c r="E35" s="494"/>
      <c r="F35" s="494"/>
      <c r="G35" s="494"/>
      <c r="H35" s="153"/>
      <c r="I35" s="152">
        <v>0</v>
      </c>
      <c r="J35" s="30"/>
      <c r="K35" s="30"/>
      <c r="L35" s="30"/>
      <c r="M35" s="30"/>
      <c r="O35" s="30"/>
    </row>
    <row r="36" spans="1:15" s="12" customFormat="1" x14ac:dyDescent="0.2">
      <c r="A36" s="126" t="s">
        <v>25</v>
      </c>
      <c r="B36" s="494" t="s">
        <v>26</v>
      </c>
      <c r="C36" s="494"/>
      <c r="D36" s="494"/>
      <c r="E36" s="494"/>
      <c r="F36" s="494"/>
      <c r="G36" s="494"/>
      <c r="H36" s="153"/>
      <c r="I36" s="152">
        <v>0</v>
      </c>
      <c r="J36" s="30"/>
      <c r="K36" s="30"/>
      <c r="L36" s="30"/>
      <c r="M36" s="30"/>
      <c r="O36" s="30"/>
    </row>
    <row r="37" spans="1:15" s="12" customFormat="1" x14ac:dyDescent="0.2">
      <c r="A37" s="427" t="s">
        <v>27</v>
      </c>
      <c r="B37" s="427"/>
      <c r="C37" s="427"/>
      <c r="D37" s="427"/>
      <c r="E37" s="427"/>
      <c r="F37" s="427"/>
      <c r="G37" s="427"/>
      <c r="H37" s="427"/>
      <c r="I37" s="154">
        <f>TRUNC(SUM(I29:I36),2)</f>
        <v>3639.77</v>
      </c>
      <c r="J37" s="30"/>
      <c r="K37" s="30"/>
      <c r="L37" s="30"/>
      <c r="M37" s="30"/>
      <c r="O37" s="30"/>
    </row>
    <row r="38" spans="1:15" s="12" customFormat="1" x14ac:dyDescent="0.2">
      <c r="A38" s="463"/>
      <c r="B38" s="463"/>
      <c r="C38" s="463"/>
      <c r="D38" s="463"/>
      <c r="E38" s="463"/>
      <c r="F38" s="463"/>
      <c r="G38" s="463"/>
      <c r="H38" s="463"/>
      <c r="I38" s="463"/>
      <c r="J38" s="30"/>
      <c r="K38" s="30"/>
      <c r="L38" s="30"/>
      <c r="M38" s="30"/>
      <c r="O38" s="30"/>
    </row>
    <row r="39" spans="1:15" s="12" customFormat="1" x14ac:dyDescent="0.2">
      <c r="A39" s="431" t="s">
        <v>28</v>
      </c>
      <c r="B39" s="431"/>
      <c r="C39" s="431"/>
      <c r="D39" s="431"/>
      <c r="E39" s="431"/>
      <c r="F39" s="431"/>
      <c r="G39" s="431"/>
      <c r="H39" s="431"/>
      <c r="I39" s="431"/>
      <c r="J39" s="3"/>
      <c r="K39" s="30"/>
      <c r="L39" s="30"/>
      <c r="M39" s="30"/>
      <c r="O39" s="30"/>
    </row>
    <row r="40" spans="1:15" s="12" customFormat="1" x14ac:dyDescent="0.2">
      <c r="A40" s="427" t="s">
        <v>29</v>
      </c>
      <c r="B40" s="427"/>
      <c r="C40" s="427"/>
      <c r="D40" s="427"/>
      <c r="E40" s="427"/>
      <c r="F40" s="427"/>
      <c r="G40" s="427"/>
      <c r="H40" s="150" t="s">
        <v>18</v>
      </c>
      <c r="I40" s="150" t="s">
        <v>19</v>
      </c>
      <c r="J40" s="3"/>
      <c r="K40" s="30"/>
      <c r="L40" s="30"/>
      <c r="M40" s="30"/>
      <c r="O40" s="30"/>
    </row>
    <row r="41" spans="1:15" s="12" customFormat="1" x14ac:dyDescent="0.2">
      <c r="A41" s="126" t="s">
        <v>1</v>
      </c>
      <c r="B41" s="494" t="s">
        <v>30</v>
      </c>
      <c r="C41" s="494"/>
      <c r="D41" s="494"/>
      <c r="E41" s="494"/>
      <c r="F41" s="494"/>
      <c r="G41" s="494"/>
      <c r="H41" s="155">
        <f>1/12</f>
        <v>8.3333333333333329E-2</v>
      </c>
      <c r="I41" s="156">
        <f>$I$37*H41</f>
        <v>303.31416666666667</v>
      </c>
      <c r="J41" s="3"/>
      <c r="K41" s="30"/>
      <c r="L41" s="30"/>
      <c r="M41" s="30"/>
      <c r="O41" s="30"/>
    </row>
    <row r="42" spans="1:15" s="12" customFormat="1" x14ac:dyDescent="0.2">
      <c r="A42" s="126" t="s">
        <v>2</v>
      </c>
      <c r="B42" s="494" t="s">
        <v>31</v>
      </c>
      <c r="C42" s="494"/>
      <c r="D42" s="494"/>
      <c r="E42" s="494"/>
      <c r="F42" s="494"/>
      <c r="G42" s="494"/>
      <c r="H42" s="155">
        <v>0.121</v>
      </c>
      <c r="I42" s="156">
        <f>H42*I37</f>
        <v>440.41217</v>
      </c>
      <c r="J42" s="3"/>
      <c r="K42" s="30"/>
      <c r="L42" s="30"/>
      <c r="M42" s="30"/>
      <c r="O42" s="30"/>
    </row>
    <row r="43" spans="1:15" s="12" customFormat="1" x14ac:dyDescent="0.2">
      <c r="A43" s="511" t="s">
        <v>436</v>
      </c>
      <c r="B43" s="512"/>
      <c r="C43" s="512"/>
      <c r="D43" s="512"/>
      <c r="E43" s="512"/>
      <c r="F43" s="512"/>
      <c r="G43" s="513"/>
      <c r="H43" s="157">
        <f>SUM(H41:H42)</f>
        <v>0.20433333333333331</v>
      </c>
      <c r="I43" s="158">
        <f>SUM(I41:I42)</f>
        <v>743.72633666666661</v>
      </c>
      <c r="J43" s="3"/>
      <c r="K43" s="30"/>
      <c r="L43" s="30"/>
      <c r="M43" s="30"/>
      <c r="O43" s="30"/>
    </row>
    <row r="44" spans="1:15" s="12" customFormat="1" x14ac:dyDescent="0.2">
      <c r="A44" s="304" t="s">
        <v>4</v>
      </c>
      <c r="B44" s="464" t="s">
        <v>394</v>
      </c>
      <c r="C44" s="465"/>
      <c r="D44" s="465"/>
      <c r="E44" s="465"/>
      <c r="F44" s="465"/>
      <c r="G44" s="466"/>
      <c r="H44" s="305">
        <f>(H43)*H61</f>
        <v>8.1324666666666656E-2</v>
      </c>
      <c r="I44" s="306">
        <f>ROUND(((I41+I42)*H61),2)</f>
        <v>296</v>
      </c>
      <c r="J44" s="3"/>
      <c r="K44" s="30"/>
      <c r="L44" s="30"/>
      <c r="M44" s="30"/>
      <c r="O44" s="30"/>
    </row>
    <row r="45" spans="1:15" s="12" customFormat="1" x14ac:dyDescent="0.2">
      <c r="A45" s="514" t="s">
        <v>437</v>
      </c>
      <c r="B45" s="515"/>
      <c r="C45" s="515"/>
      <c r="D45" s="515"/>
      <c r="E45" s="515"/>
      <c r="F45" s="515"/>
      <c r="G45" s="516"/>
      <c r="H45" s="157">
        <f>SUM(H43:H44)</f>
        <v>0.28565799999999997</v>
      </c>
      <c r="I45" s="158">
        <f>SUM(I43:I44)</f>
        <v>1039.7263366666666</v>
      </c>
      <c r="J45" s="3"/>
      <c r="K45" s="30"/>
      <c r="L45" s="30"/>
      <c r="M45" s="30"/>
      <c r="O45" s="30"/>
    </row>
    <row r="46" spans="1:15" s="12" customFormat="1" ht="19.5" hidden="1" customHeight="1" x14ac:dyDescent="0.2">
      <c r="A46" s="448" t="s">
        <v>33</v>
      </c>
      <c r="B46" s="448"/>
      <c r="C46" s="448"/>
      <c r="D46" s="448"/>
      <c r="E46" s="448"/>
      <c r="F46" s="448"/>
      <c r="G46" s="448"/>
      <c r="H46" s="448"/>
      <c r="I46" s="448"/>
      <c r="J46" s="3"/>
      <c r="K46" s="30"/>
      <c r="L46" s="30"/>
      <c r="M46" s="30"/>
      <c r="O46" s="30"/>
    </row>
    <row r="47" spans="1:15" s="12" customFormat="1" ht="19.5" hidden="1" customHeight="1" x14ac:dyDescent="0.2">
      <c r="A47" s="449" t="s">
        <v>34</v>
      </c>
      <c r="B47" s="449"/>
      <c r="C47" s="449"/>
      <c r="D47" s="449"/>
      <c r="E47" s="449"/>
      <c r="F47" s="449"/>
      <c r="G47" s="449"/>
      <c r="H47" s="449"/>
      <c r="I47" s="449"/>
      <c r="J47" s="3"/>
      <c r="K47" s="30"/>
      <c r="L47" s="30"/>
      <c r="M47" s="30"/>
      <c r="O47" s="30"/>
    </row>
    <row r="48" spans="1:15" s="12" customFormat="1" ht="12.75" hidden="1" customHeight="1" x14ac:dyDescent="0.2">
      <c r="A48" s="449" t="s">
        <v>35</v>
      </c>
      <c r="B48" s="449"/>
      <c r="C48" s="449"/>
      <c r="D48" s="449"/>
      <c r="E48" s="449"/>
      <c r="F48" s="449"/>
      <c r="G48" s="449"/>
      <c r="H48" s="449"/>
      <c r="I48" s="449"/>
      <c r="J48" s="3"/>
      <c r="K48" s="30"/>
      <c r="L48" s="30"/>
      <c r="M48" s="30"/>
      <c r="O48" s="30"/>
    </row>
    <row r="49" spans="1:15" s="12" customFormat="1" ht="12.75" hidden="1" customHeight="1" x14ac:dyDescent="0.2">
      <c r="A49" s="449" t="s">
        <v>36</v>
      </c>
      <c r="B49" s="449"/>
      <c r="C49" s="449"/>
      <c r="D49" s="449"/>
      <c r="E49" s="449"/>
      <c r="F49" s="449"/>
      <c r="G49" s="449"/>
      <c r="H49" s="449"/>
      <c r="I49" s="449"/>
      <c r="J49" s="3"/>
      <c r="K49" s="30"/>
      <c r="L49" s="30"/>
      <c r="M49" s="30"/>
      <c r="O49" s="30"/>
    </row>
    <row r="50" spans="1:15" s="12" customFormat="1" x14ac:dyDescent="0.2">
      <c r="A50" s="457"/>
      <c r="B50" s="457"/>
      <c r="C50" s="457"/>
      <c r="D50" s="457"/>
      <c r="E50" s="457"/>
      <c r="F50" s="457"/>
      <c r="G50" s="457"/>
      <c r="H50" s="457"/>
      <c r="I50" s="457"/>
      <c r="J50" s="6"/>
      <c r="K50" s="7"/>
      <c r="L50" s="30"/>
      <c r="M50" s="30"/>
      <c r="O50" s="30"/>
    </row>
    <row r="51" spans="1:15" s="12" customFormat="1" x14ac:dyDescent="0.2">
      <c r="A51" s="451" t="s">
        <v>37</v>
      </c>
      <c r="B51" s="451"/>
      <c r="C51" s="451"/>
      <c r="D51" s="451"/>
      <c r="E51" s="451"/>
      <c r="F51" s="451"/>
      <c r="G51" s="451"/>
      <c r="H51" s="159" t="s">
        <v>18</v>
      </c>
      <c r="I51" s="159" t="s">
        <v>19</v>
      </c>
      <c r="J51" s="3"/>
      <c r="K51" s="30"/>
      <c r="L51" s="30"/>
      <c r="M51" s="30"/>
      <c r="O51" s="30"/>
    </row>
    <row r="52" spans="1:15" s="12" customFormat="1" x14ac:dyDescent="0.2">
      <c r="A52" s="126" t="s">
        <v>1</v>
      </c>
      <c r="B52" s="494" t="s">
        <v>38</v>
      </c>
      <c r="C52" s="494"/>
      <c r="D52" s="494"/>
      <c r="E52" s="494"/>
      <c r="F52" s="494"/>
      <c r="G52" s="494"/>
      <c r="H52" s="4">
        <v>0.2</v>
      </c>
      <c r="I52" s="156">
        <f>($I$37+I45)*H52</f>
        <v>935.89926733333346</v>
      </c>
      <c r="J52" s="3"/>
      <c r="K52" s="30"/>
      <c r="L52" s="30"/>
      <c r="M52" s="30"/>
      <c r="O52" s="30"/>
    </row>
    <row r="53" spans="1:15" s="12" customFormat="1" x14ac:dyDescent="0.2">
      <c r="A53" s="126" t="s">
        <v>2</v>
      </c>
      <c r="B53" s="494" t="s">
        <v>39</v>
      </c>
      <c r="C53" s="494"/>
      <c r="D53" s="494"/>
      <c r="E53" s="494"/>
      <c r="F53" s="494"/>
      <c r="G53" s="494"/>
      <c r="H53" s="4">
        <v>2.5000000000000001E-2</v>
      </c>
      <c r="I53" s="156">
        <f>($I$37+I45)*H53</f>
        <v>116.98740841666668</v>
      </c>
      <c r="J53" s="3"/>
      <c r="K53" s="30"/>
      <c r="L53" s="30"/>
      <c r="M53" s="30"/>
      <c r="O53" s="30"/>
    </row>
    <row r="54" spans="1:15" s="12" customFormat="1" x14ac:dyDescent="0.2">
      <c r="A54" s="126" t="s">
        <v>4</v>
      </c>
      <c r="B54" s="510" t="s">
        <v>40</v>
      </c>
      <c r="C54" s="510"/>
      <c r="D54" s="510"/>
      <c r="E54" s="510"/>
      <c r="F54" s="510"/>
      <c r="G54" s="510"/>
      <c r="H54" s="4">
        <v>0.03</v>
      </c>
      <c r="I54" s="487">
        <f>($I$37+I45)*H54*H55</f>
        <v>280.76978020000001</v>
      </c>
      <c r="J54" s="31">
        <f>H54*H55</f>
        <v>0.06</v>
      </c>
      <c r="K54" s="8"/>
      <c r="L54" s="30"/>
      <c r="M54" s="30"/>
      <c r="O54" s="30"/>
    </row>
    <row r="55" spans="1:15" s="12" customFormat="1" x14ac:dyDescent="0.2">
      <c r="A55" s="126"/>
      <c r="B55" s="510"/>
      <c r="C55" s="510"/>
      <c r="D55" s="510"/>
      <c r="E55" s="510"/>
      <c r="F55" s="510"/>
      <c r="G55" s="510"/>
      <c r="H55" s="10">
        <v>2</v>
      </c>
      <c r="I55" s="487"/>
      <c r="J55" s="3"/>
      <c r="K55" s="8"/>
      <c r="L55" s="30"/>
      <c r="M55" s="30"/>
      <c r="O55" s="30"/>
    </row>
    <row r="56" spans="1:15" s="12" customFormat="1" x14ac:dyDescent="0.2">
      <c r="A56" s="126" t="s">
        <v>6</v>
      </c>
      <c r="B56" s="494" t="s">
        <v>41</v>
      </c>
      <c r="C56" s="494"/>
      <c r="D56" s="494"/>
      <c r="E56" s="494"/>
      <c r="F56" s="494"/>
      <c r="G56" s="494"/>
      <c r="H56" s="4">
        <v>1.4999999999999999E-2</v>
      </c>
      <c r="I56" s="156">
        <f>($I$37+I45)*H56</f>
        <v>70.192445050000003</v>
      </c>
      <c r="J56" s="3"/>
      <c r="K56" s="30"/>
      <c r="L56" s="30"/>
      <c r="M56" s="30"/>
      <c r="O56" s="30"/>
    </row>
    <row r="57" spans="1:15" s="12" customFormat="1" x14ac:dyDescent="0.2">
      <c r="A57" s="126" t="s">
        <v>23</v>
      </c>
      <c r="B57" s="494" t="s">
        <v>42</v>
      </c>
      <c r="C57" s="494"/>
      <c r="D57" s="494"/>
      <c r="E57" s="494"/>
      <c r="F57" s="494"/>
      <c r="G57" s="494"/>
      <c r="H57" s="4">
        <v>0.01</v>
      </c>
      <c r="I57" s="156">
        <f>($I$37+I45)*H57</f>
        <v>46.794963366666671</v>
      </c>
      <c r="J57" s="3"/>
      <c r="K57" s="30"/>
      <c r="L57" s="30"/>
      <c r="M57" s="30"/>
      <c r="O57" s="30"/>
    </row>
    <row r="58" spans="1:15" s="12" customFormat="1" x14ac:dyDescent="0.2">
      <c r="A58" s="126" t="s">
        <v>25</v>
      </c>
      <c r="B58" s="494" t="s">
        <v>43</v>
      </c>
      <c r="C58" s="494"/>
      <c r="D58" s="494"/>
      <c r="E58" s="494"/>
      <c r="F58" s="494"/>
      <c r="G58" s="494"/>
      <c r="H58" s="4">
        <v>6.0000000000000001E-3</v>
      </c>
      <c r="I58" s="156">
        <f>($I$37+I45)*H58</f>
        <v>28.076978020000002</v>
      </c>
      <c r="J58" s="3"/>
      <c r="K58" s="30"/>
      <c r="L58" s="30"/>
      <c r="M58" s="30"/>
      <c r="O58" s="30"/>
    </row>
    <row r="59" spans="1:15" s="12" customFormat="1" x14ac:dyDescent="0.2">
      <c r="A59" s="126" t="s">
        <v>44</v>
      </c>
      <c r="B59" s="494" t="s">
        <v>45</v>
      </c>
      <c r="C59" s="494"/>
      <c r="D59" s="494"/>
      <c r="E59" s="494"/>
      <c r="F59" s="494"/>
      <c r="G59" s="494"/>
      <c r="H59" s="4">
        <v>2E-3</v>
      </c>
      <c r="I59" s="156">
        <f>($I$37+I45)*H59</f>
        <v>9.3589926733333346</v>
      </c>
      <c r="J59" s="3"/>
      <c r="K59" s="30"/>
      <c r="L59" s="30"/>
      <c r="M59" s="30"/>
      <c r="O59" s="30"/>
    </row>
    <row r="60" spans="1:15" s="12" customFormat="1" x14ac:dyDescent="0.2">
      <c r="A60" s="126" t="s">
        <v>46</v>
      </c>
      <c r="B60" s="494" t="s">
        <v>47</v>
      </c>
      <c r="C60" s="494"/>
      <c r="D60" s="494"/>
      <c r="E60" s="494"/>
      <c r="F60" s="494"/>
      <c r="G60" s="494"/>
      <c r="H60" s="4">
        <v>0.08</v>
      </c>
      <c r="I60" s="156">
        <f>($I$37+I45)*H60</f>
        <v>374.35970693333337</v>
      </c>
      <c r="J60" s="3"/>
      <c r="K60" s="30"/>
      <c r="L60" s="30"/>
      <c r="M60" s="30"/>
      <c r="O60" s="30"/>
    </row>
    <row r="61" spans="1:15" s="12" customFormat="1" x14ac:dyDescent="0.2">
      <c r="A61" s="427" t="s">
        <v>48</v>
      </c>
      <c r="B61" s="427"/>
      <c r="C61" s="427"/>
      <c r="D61" s="427"/>
      <c r="E61" s="427"/>
      <c r="F61" s="427"/>
      <c r="G61" s="427"/>
      <c r="H61" s="157">
        <f>SUM(H52:H53,H56:H60)+J54</f>
        <v>0.39800000000000002</v>
      </c>
      <c r="I61" s="154">
        <f>SUM(I52:I60)</f>
        <v>1862.4395419933339</v>
      </c>
      <c r="J61" s="3"/>
      <c r="K61" s="30"/>
      <c r="L61" s="30"/>
      <c r="M61" s="30"/>
      <c r="O61" s="30"/>
    </row>
    <row r="62" spans="1:15" s="12" customFormat="1" x14ac:dyDescent="0.2">
      <c r="A62" s="450"/>
      <c r="B62" s="450"/>
      <c r="C62" s="450"/>
      <c r="D62" s="450"/>
      <c r="E62" s="450"/>
      <c r="F62" s="450"/>
      <c r="G62" s="450"/>
      <c r="H62" s="450"/>
      <c r="I62" s="450"/>
      <c r="J62" s="3"/>
      <c r="K62" s="30"/>
      <c r="L62" s="30"/>
      <c r="M62" s="30"/>
      <c r="O62" s="30"/>
    </row>
    <row r="63" spans="1:15" s="12" customFormat="1" x14ac:dyDescent="0.2">
      <c r="A63" s="451" t="s">
        <v>49</v>
      </c>
      <c r="B63" s="451"/>
      <c r="C63" s="451"/>
      <c r="D63" s="451"/>
      <c r="E63" s="451"/>
      <c r="F63" s="451"/>
      <c r="G63" s="451"/>
      <c r="H63" s="161" t="s">
        <v>50</v>
      </c>
      <c r="I63" s="159" t="s">
        <v>19</v>
      </c>
      <c r="J63" s="3"/>
      <c r="K63" s="30"/>
      <c r="L63" s="30"/>
      <c r="M63" s="30"/>
      <c r="O63" s="30"/>
    </row>
    <row r="64" spans="1:15" s="12" customFormat="1" x14ac:dyDescent="0.2">
      <c r="A64" s="126" t="s">
        <v>1</v>
      </c>
      <c r="B64" s="493" t="s">
        <v>51</v>
      </c>
      <c r="C64" s="493"/>
      <c r="D64" s="493"/>
      <c r="E64" s="493"/>
      <c r="F64" s="493"/>
      <c r="G64" s="493"/>
      <c r="H64" s="162">
        <v>5.5</v>
      </c>
      <c r="I64" s="152">
        <f>' V.A_VT'!G20</f>
        <v>20.286000000000001</v>
      </c>
      <c r="J64" s="3"/>
      <c r="K64" s="30"/>
      <c r="L64" s="30"/>
      <c r="M64" s="30"/>
      <c r="O64" s="30"/>
    </row>
    <row r="65" spans="1:18" s="12" customFormat="1" x14ac:dyDescent="0.2">
      <c r="A65" s="126" t="s">
        <v>2</v>
      </c>
      <c r="B65" s="493" t="s">
        <v>52</v>
      </c>
      <c r="C65" s="493"/>
      <c r="D65" s="493"/>
      <c r="E65" s="493"/>
      <c r="F65" s="493"/>
      <c r="G65" s="493"/>
      <c r="H65" s="10">
        <v>35.770000000000003</v>
      </c>
      <c r="I65" s="152">
        <f>' V.A_VT'!G28</f>
        <v>551.25</v>
      </c>
      <c r="J65" s="3"/>
      <c r="K65" s="30"/>
      <c r="L65" s="30"/>
      <c r="M65" s="30"/>
      <c r="O65" s="30"/>
    </row>
    <row r="66" spans="1:18" s="12" customFormat="1" x14ac:dyDescent="0.2">
      <c r="A66" s="126" t="s">
        <v>4</v>
      </c>
      <c r="B66" s="505" t="s">
        <v>314</v>
      </c>
      <c r="C66" s="506"/>
      <c r="D66" s="506"/>
      <c r="E66" s="506"/>
      <c r="F66" s="506"/>
      <c r="G66" s="507"/>
      <c r="H66" s="162"/>
      <c r="I66" s="287"/>
      <c r="J66" s="3"/>
      <c r="K66" s="30"/>
      <c r="L66" s="30"/>
      <c r="M66" s="30"/>
      <c r="O66" s="30"/>
    </row>
    <row r="67" spans="1:18" s="12" customFormat="1" x14ac:dyDescent="0.2">
      <c r="A67" s="126" t="s">
        <v>6</v>
      </c>
      <c r="B67" s="493" t="s">
        <v>211</v>
      </c>
      <c r="C67" s="493"/>
      <c r="D67" s="493"/>
      <c r="E67" s="493"/>
      <c r="F67" s="493"/>
      <c r="G67" s="493"/>
      <c r="H67" s="162"/>
      <c r="I67" s="287"/>
      <c r="J67" s="3"/>
      <c r="K67" s="30"/>
      <c r="L67" s="30"/>
      <c r="M67" s="30"/>
      <c r="O67" s="30"/>
    </row>
    <row r="68" spans="1:18" s="12" customFormat="1" x14ac:dyDescent="0.2">
      <c r="A68" s="126" t="s">
        <v>23</v>
      </c>
      <c r="B68" s="494" t="s">
        <v>311</v>
      </c>
      <c r="C68" s="494"/>
      <c r="D68" s="494"/>
      <c r="E68" s="494"/>
      <c r="F68" s="494"/>
      <c r="G68" s="494"/>
      <c r="H68" s="162"/>
      <c r="I68" s="152"/>
      <c r="J68" s="3"/>
      <c r="K68" s="30"/>
      <c r="L68" s="30"/>
      <c r="M68" s="30"/>
      <c r="O68" s="30"/>
    </row>
    <row r="69" spans="1:18" s="12" customFormat="1" x14ac:dyDescent="0.2">
      <c r="A69" s="126" t="s">
        <v>25</v>
      </c>
      <c r="B69" s="493" t="s">
        <v>26</v>
      </c>
      <c r="C69" s="493"/>
      <c r="D69" s="493"/>
      <c r="E69" s="493"/>
      <c r="F69" s="493"/>
      <c r="G69" s="493"/>
      <c r="H69" s="162"/>
      <c r="I69" s="152"/>
      <c r="J69" s="3"/>
      <c r="K69" s="30"/>
      <c r="L69" s="30"/>
      <c r="M69" s="30"/>
      <c r="O69" s="30"/>
    </row>
    <row r="70" spans="1:18" s="12" customFormat="1" x14ac:dyDescent="0.2">
      <c r="A70" s="427" t="s">
        <v>54</v>
      </c>
      <c r="B70" s="427"/>
      <c r="C70" s="427"/>
      <c r="D70" s="427"/>
      <c r="E70" s="427"/>
      <c r="F70" s="427"/>
      <c r="G70" s="427"/>
      <c r="H70" s="427"/>
      <c r="I70" s="158">
        <f>SUM(I64:I69)</f>
        <v>571.53600000000006</v>
      </c>
      <c r="J70" s="3"/>
      <c r="K70" s="30"/>
      <c r="L70" s="30"/>
      <c r="M70" s="30"/>
      <c r="O70" s="30"/>
    </row>
    <row r="71" spans="1:18" s="12" customFormat="1" ht="30" hidden="1" customHeight="1" x14ac:dyDescent="0.2">
      <c r="A71" s="448" t="s">
        <v>55</v>
      </c>
      <c r="B71" s="448"/>
      <c r="C71" s="448"/>
      <c r="D71" s="448"/>
      <c r="E71" s="448"/>
      <c r="F71" s="448"/>
      <c r="G71" s="448"/>
      <c r="H71" s="448"/>
      <c r="I71" s="448"/>
      <c r="J71" s="3"/>
      <c r="K71" s="30"/>
      <c r="L71" s="30"/>
      <c r="M71" s="30"/>
      <c r="O71" s="30"/>
    </row>
    <row r="72" spans="1:18" s="12" customFormat="1" ht="30" hidden="1" customHeight="1" x14ac:dyDescent="0.2">
      <c r="A72" s="449" t="s">
        <v>56</v>
      </c>
      <c r="B72" s="449"/>
      <c r="C72" s="449"/>
      <c r="D72" s="449"/>
      <c r="E72" s="449"/>
      <c r="F72" s="449"/>
      <c r="G72" s="449"/>
      <c r="H72" s="449"/>
      <c r="I72" s="449"/>
      <c r="J72" s="443" t="s">
        <v>128</v>
      </c>
      <c r="K72" s="444"/>
      <c r="L72" s="444"/>
      <c r="M72" s="444"/>
      <c r="N72" s="444"/>
      <c r="O72" s="444"/>
      <c r="P72" s="444"/>
      <c r="Q72" s="444"/>
      <c r="R72" s="444"/>
    </row>
    <row r="73" spans="1:18" s="12" customFormat="1" ht="30" hidden="1" customHeight="1" x14ac:dyDescent="0.2">
      <c r="A73" s="445" t="s">
        <v>57</v>
      </c>
      <c r="B73" s="445"/>
      <c r="C73" s="445"/>
      <c r="D73" s="445"/>
      <c r="E73" s="445"/>
      <c r="F73" s="445"/>
      <c r="G73" s="445"/>
      <c r="H73" s="445"/>
      <c r="I73" s="445"/>
      <c r="J73" s="3"/>
      <c r="K73" s="30"/>
      <c r="L73" s="30"/>
      <c r="M73" s="30"/>
      <c r="O73" s="30"/>
    </row>
    <row r="74" spans="1:18" s="12" customFormat="1" ht="18.75" hidden="1" customHeight="1" x14ac:dyDescent="0.2">
      <c r="A74" s="446" t="s">
        <v>58</v>
      </c>
      <c r="B74" s="446"/>
      <c r="C74" s="446"/>
      <c r="D74" s="446"/>
      <c r="E74" s="446"/>
      <c r="F74" s="446"/>
      <c r="G74" s="446"/>
      <c r="H74" s="446"/>
      <c r="I74" s="446"/>
      <c r="J74" s="3"/>
      <c r="K74" s="30"/>
      <c r="L74" s="30"/>
      <c r="M74" s="30"/>
      <c r="O74" s="30"/>
    </row>
    <row r="75" spans="1:18" s="12" customFormat="1" x14ac:dyDescent="0.2">
      <c r="A75" s="447"/>
      <c r="B75" s="447"/>
      <c r="C75" s="447"/>
      <c r="D75" s="447"/>
      <c r="E75" s="447"/>
      <c r="F75" s="447"/>
      <c r="G75" s="447"/>
      <c r="H75" s="447"/>
      <c r="I75" s="447"/>
      <c r="J75" s="3"/>
      <c r="K75" s="30"/>
      <c r="L75" s="30"/>
      <c r="M75" s="30"/>
      <c r="O75" s="30"/>
    </row>
    <row r="76" spans="1:18" s="12" customFormat="1" x14ac:dyDescent="0.2">
      <c r="A76" s="431" t="s">
        <v>59</v>
      </c>
      <c r="B76" s="431"/>
      <c r="C76" s="431"/>
      <c r="D76" s="431"/>
      <c r="E76" s="431"/>
      <c r="F76" s="431"/>
      <c r="G76" s="431"/>
      <c r="H76" s="431"/>
      <c r="I76" s="431"/>
      <c r="J76" s="3"/>
      <c r="K76" s="30"/>
      <c r="L76" s="30"/>
      <c r="M76" s="30"/>
      <c r="O76" s="30"/>
    </row>
    <row r="77" spans="1:18" s="12" customFormat="1" x14ac:dyDescent="0.2">
      <c r="A77" s="427" t="s">
        <v>60</v>
      </c>
      <c r="B77" s="427"/>
      <c r="C77" s="427"/>
      <c r="D77" s="427"/>
      <c r="E77" s="427"/>
      <c r="F77" s="427"/>
      <c r="G77" s="427"/>
      <c r="H77" s="427"/>
      <c r="I77" s="150" t="s">
        <v>19</v>
      </c>
      <c r="J77" s="3"/>
      <c r="K77" s="30"/>
      <c r="L77" s="57">
        <f>SUM(I78+I79+I90+I100)/I37</f>
        <v>0.88223318469573642</v>
      </c>
      <c r="M77" s="30"/>
      <c r="O77" s="30"/>
    </row>
    <row r="78" spans="1:18" s="12" customFormat="1" x14ac:dyDescent="0.2">
      <c r="A78" s="126" t="s">
        <v>61</v>
      </c>
      <c r="B78" s="494" t="s">
        <v>62</v>
      </c>
      <c r="C78" s="494"/>
      <c r="D78" s="494"/>
      <c r="E78" s="494"/>
      <c r="F78" s="494"/>
      <c r="G78" s="494"/>
      <c r="H78" s="494"/>
      <c r="I78" s="152">
        <f>I45</f>
        <v>1039.7263366666666</v>
      </c>
      <c r="J78" s="3"/>
      <c r="K78" s="30"/>
      <c r="L78" s="30"/>
      <c r="M78" s="30"/>
      <c r="O78" s="30"/>
    </row>
    <row r="79" spans="1:18" s="12" customFormat="1" x14ac:dyDescent="0.2">
      <c r="A79" s="126" t="s">
        <v>63</v>
      </c>
      <c r="B79" s="494" t="s">
        <v>64</v>
      </c>
      <c r="C79" s="494"/>
      <c r="D79" s="494"/>
      <c r="E79" s="494"/>
      <c r="F79" s="494"/>
      <c r="G79" s="494"/>
      <c r="H79" s="494"/>
      <c r="I79" s="152">
        <f>I61</f>
        <v>1862.4395419933339</v>
      </c>
      <c r="J79" s="3"/>
      <c r="K79" s="30"/>
      <c r="L79" s="30"/>
      <c r="M79" s="30"/>
      <c r="O79" s="30"/>
    </row>
    <row r="80" spans="1:18" s="12" customFormat="1" x14ac:dyDescent="0.2">
      <c r="A80" s="126" t="s">
        <v>65</v>
      </c>
      <c r="B80" s="494" t="s">
        <v>66</v>
      </c>
      <c r="C80" s="494"/>
      <c r="D80" s="494"/>
      <c r="E80" s="494"/>
      <c r="F80" s="494"/>
      <c r="G80" s="494"/>
      <c r="H80" s="494"/>
      <c r="I80" s="152">
        <f>I70</f>
        <v>571.53600000000006</v>
      </c>
      <c r="J80" s="3"/>
      <c r="K80" s="30"/>
      <c r="L80" s="30"/>
      <c r="M80" s="30"/>
      <c r="O80" s="30"/>
    </row>
    <row r="81" spans="1:15" s="12" customFormat="1" x14ac:dyDescent="0.2">
      <c r="A81" s="427" t="s">
        <v>67</v>
      </c>
      <c r="B81" s="427"/>
      <c r="C81" s="427"/>
      <c r="D81" s="427"/>
      <c r="E81" s="427"/>
      <c r="F81" s="427"/>
      <c r="G81" s="427"/>
      <c r="H81" s="427"/>
      <c r="I81" s="154">
        <f>TRUNC(SUM(I78:I80),2)</f>
        <v>3473.7</v>
      </c>
      <c r="J81" s="3"/>
      <c r="K81" s="30"/>
      <c r="L81" s="30"/>
      <c r="M81" s="30"/>
      <c r="O81" s="30"/>
    </row>
    <row r="82" spans="1:15" s="12" customFormat="1" x14ac:dyDescent="0.2">
      <c r="A82" s="11"/>
      <c r="B82" s="163"/>
      <c r="C82" s="163"/>
      <c r="D82" s="163"/>
      <c r="E82" s="163"/>
      <c r="F82" s="163"/>
      <c r="G82" s="163"/>
      <c r="H82" s="163"/>
      <c r="I82" s="164"/>
      <c r="J82" s="3"/>
      <c r="K82" s="30"/>
      <c r="L82" s="30"/>
      <c r="M82" s="30"/>
      <c r="O82" s="30"/>
    </row>
    <row r="83" spans="1:15" s="12" customFormat="1" x14ac:dyDescent="0.2">
      <c r="A83" s="431" t="s">
        <v>68</v>
      </c>
      <c r="B83" s="431"/>
      <c r="C83" s="431"/>
      <c r="D83" s="431"/>
      <c r="E83" s="431"/>
      <c r="F83" s="431"/>
      <c r="G83" s="431"/>
      <c r="H83" s="431"/>
      <c r="I83" s="431"/>
      <c r="J83" s="3"/>
      <c r="K83" s="30"/>
      <c r="L83" s="30"/>
      <c r="M83" s="30"/>
      <c r="O83" s="30"/>
    </row>
    <row r="84" spans="1:15" s="12" customFormat="1" x14ac:dyDescent="0.2">
      <c r="A84" s="126">
        <v>3</v>
      </c>
      <c r="B84" s="508" t="s">
        <v>69</v>
      </c>
      <c r="C84" s="508"/>
      <c r="D84" s="508"/>
      <c r="E84" s="508"/>
      <c r="F84" s="508"/>
      <c r="G84" s="508"/>
      <c r="H84" s="150" t="s">
        <v>18</v>
      </c>
      <c r="I84" s="150" t="s">
        <v>19</v>
      </c>
      <c r="J84" s="3"/>
      <c r="K84" s="30"/>
      <c r="L84" s="30"/>
      <c r="M84" s="30"/>
      <c r="O84" s="30"/>
    </row>
    <row r="85" spans="1:15" s="12" customFormat="1" x14ac:dyDescent="0.2">
      <c r="A85" s="126" t="s">
        <v>1</v>
      </c>
      <c r="B85" s="494" t="s">
        <v>70</v>
      </c>
      <c r="C85" s="494"/>
      <c r="D85" s="494"/>
      <c r="E85" s="494"/>
      <c r="F85" s="494"/>
      <c r="G85" s="494"/>
      <c r="H85" s="155">
        <v>4.5999999999999999E-3</v>
      </c>
      <c r="I85" s="152">
        <f t="shared" ref="I85:I89" si="0">$I$37*H85</f>
        <v>16.742941999999999</v>
      </c>
      <c r="J85" s="3"/>
      <c r="K85" s="30"/>
      <c r="L85" s="30"/>
      <c r="M85" s="30"/>
      <c r="O85" s="30"/>
    </row>
    <row r="86" spans="1:15" s="12" customFormat="1" x14ac:dyDescent="0.2">
      <c r="A86" s="126" t="s">
        <v>2</v>
      </c>
      <c r="B86" s="494" t="s">
        <v>71</v>
      </c>
      <c r="C86" s="494"/>
      <c r="D86" s="494"/>
      <c r="E86" s="494"/>
      <c r="F86" s="494"/>
      <c r="G86" s="494"/>
      <c r="H86" s="155">
        <f>H85*0.08</f>
        <v>3.68E-4</v>
      </c>
      <c r="I86" s="152">
        <f t="shared" si="0"/>
        <v>1.33943536</v>
      </c>
      <c r="J86" s="3"/>
      <c r="K86" s="30"/>
      <c r="L86" s="30"/>
      <c r="M86" s="30"/>
      <c r="O86" s="30"/>
    </row>
    <row r="87" spans="1:15" s="12" customFormat="1" x14ac:dyDescent="0.2">
      <c r="A87" s="126" t="s">
        <v>4</v>
      </c>
      <c r="B87" s="494" t="s">
        <v>72</v>
      </c>
      <c r="C87" s="494"/>
      <c r="D87" s="494"/>
      <c r="E87" s="494"/>
      <c r="F87" s="494"/>
      <c r="G87" s="494"/>
      <c r="H87" s="155">
        <v>1.9400000000000001E-2</v>
      </c>
      <c r="I87" s="152">
        <f t="shared" si="0"/>
        <v>70.611537999999996</v>
      </c>
      <c r="L87" s="57"/>
    </row>
    <row r="88" spans="1:15" s="12" customFormat="1" x14ac:dyDescent="0.2">
      <c r="A88" s="126" t="s">
        <v>4</v>
      </c>
      <c r="B88" s="494" t="s">
        <v>73</v>
      </c>
      <c r="C88" s="494"/>
      <c r="D88" s="494"/>
      <c r="E88" s="494"/>
      <c r="F88" s="494"/>
      <c r="G88" s="494"/>
      <c r="H88" s="165">
        <f>H87*H61</f>
        <v>7.721200000000001E-3</v>
      </c>
      <c r="I88" s="152">
        <f t="shared" si="0"/>
        <v>28.103392124000003</v>
      </c>
      <c r="J88" s="3"/>
      <c r="K88" s="14"/>
    </row>
    <row r="89" spans="1:15" s="12" customFormat="1" ht="45" customHeight="1" x14ac:dyDescent="0.2">
      <c r="A89" s="413" t="s">
        <v>23</v>
      </c>
      <c r="B89" s="517" t="s">
        <v>477</v>
      </c>
      <c r="C89" s="517"/>
      <c r="D89" s="517"/>
      <c r="E89" s="517"/>
      <c r="F89" s="517"/>
      <c r="G89" s="517"/>
      <c r="H89" s="417">
        <v>0.04</v>
      </c>
      <c r="I89" s="416">
        <f t="shared" si="0"/>
        <v>145.5908</v>
      </c>
      <c r="J89" s="3"/>
      <c r="K89" s="30"/>
    </row>
    <row r="90" spans="1:15" s="12" customFormat="1" x14ac:dyDescent="0.2">
      <c r="A90" s="427" t="s">
        <v>74</v>
      </c>
      <c r="B90" s="427"/>
      <c r="C90" s="427"/>
      <c r="D90" s="427"/>
      <c r="E90" s="427"/>
      <c r="F90" s="427"/>
      <c r="G90" s="427"/>
      <c r="H90" s="157">
        <f>TRUNC(SUM(H85:H89),4)</f>
        <v>7.1999999999999995E-2</v>
      </c>
      <c r="I90" s="154">
        <f>TRUNC(SUM(I85:I89),2)</f>
        <v>262.38</v>
      </c>
      <c r="J90" s="3"/>
      <c r="K90" s="30"/>
    </row>
    <row r="91" spans="1:15" s="12" customFormat="1" x14ac:dyDescent="0.2">
      <c r="A91" s="441"/>
      <c r="B91" s="441"/>
      <c r="C91" s="441"/>
      <c r="D91" s="441"/>
      <c r="E91" s="441"/>
      <c r="F91" s="441"/>
      <c r="G91" s="441"/>
      <c r="H91" s="441"/>
      <c r="I91" s="441"/>
      <c r="J91" s="3"/>
      <c r="K91" s="30"/>
    </row>
    <row r="92" spans="1:15" s="12" customFormat="1" x14ac:dyDescent="0.2">
      <c r="A92" s="431" t="s">
        <v>75</v>
      </c>
      <c r="B92" s="431"/>
      <c r="C92" s="431"/>
      <c r="D92" s="431"/>
      <c r="E92" s="431"/>
      <c r="F92" s="431"/>
      <c r="G92" s="431"/>
      <c r="H92" s="431"/>
      <c r="I92" s="431"/>
      <c r="J92" s="3"/>
      <c r="K92" s="30"/>
    </row>
    <row r="93" spans="1:15" s="12" customFormat="1" x14ac:dyDescent="0.2">
      <c r="A93" s="437" t="s">
        <v>76</v>
      </c>
      <c r="B93" s="437"/>
      <c r="C93" s="437"/>
      <c r="D93" s="437"/>
      <c r="E93" s="437"/>
      <c r="F93" s="437"/>
      <c r="G93" s="437"/>
      <c r="H93" s="166" t="s">
        <v>18</v>
      </c>
      <c r="I93" s="166" t="s">
        <v>19</v>
      </c>
      <c r="J93" s="3"/>
      <c r="K93" s="30"/>
    </row>
    <row r="94" spans="1:15" s="12" customFormat="1" x14ac:dyDescent="0.2">
      <c r="A94" s="126" t="s">
        <v>1</v>
      </c>
      <c r="B94" s="428" t="s">
        <v>340</v>
      </c>
      <c r="C94" s="428"/>
      <c r="D94" s="428"/>
      <c r="E94" s="428"/>
      <c r="F94" s="428"/>
      <c r="G94" s="428"/>
      <c r="H94" s="278">
        <v>9.2999999999999992E-3</v>
      </c>
      <c r="I94" s="152">
        <f>$I$37*H94</f>
        <v>33.849860999999997</v>
      </c>
      <c r="J94" s="3"/>
      <c r="K94" s="30"/>
    </row>
    <row r="95" spans="1:15" s="12" customFormat="1" x14ac:dyDescent="0.2">
      <c r="A95" s="126" t="s">
        <v>2</v>
      </c>
      <c r="B95" s="428" t="s">
        <v>341</v>
      </c>
      <c r="C95" s="428"/>
      <c r="D95" s="428"/>
      <c r="E95" s="428"/>
      <c r="F95" s="428"/>
      <c r="G95" s="428"/>
      <c r="H95" s="155">
        <v>2.8E-3</v>
      </c>
      <c r="I95" s="152">
        <f>$I$37*H95</f>
        <v>10.191355999999999</v>
      </c>
      <c r="J95" s="15"/>
      <c r="K95" s="30"/>
    </row>
    <row r="96" spans="1:15" s="12" customFormat="1" x14ac:dyDescent="0.2">
      <c r="A96" s="126" t="s">
        <v>4</v>
      </c>
      <c r="B96" s="428" t="s">
        <v>342</v>
      </c>
      <c r="C96" s="428"/>
      <c r="D96" s="428"/>
      <c r="E96" s="428"/>
      <c r="F96" s="428"/>
      <c r="G96" s="428"/>
      <c r="H96" s="155">
        <v>2.0000000000000001E-4</v>
      </c>
      <c r="I96" s="152">
        <f>$I$37*H96</f>
        <v>0.72795399999999999</v>
      </c>
      <c r="J96" s="15"/>
      <c r="K96" s="16"/>
    </row>
    <row r="97" spans="1:14" s="12" customFormat="1" x14ac:dyDescent="0.2">
      <c r="A97" s="126" t="s">
        <v>6</v>
      </c>
      <c r="B97" s="428" t="s">
        <v>343</v>
      </c>
      <c r="C97" s="428"/>
      <c r="D97" s="428"/>
      <c r="E97" s="428"/>
      <c r="F97" s="428"/>
      <c r="G97" s="428"/>
      <c r="H97" s="155">
        <v>2.9999999999999997E-4</v>
      </c>
      <c r="I97" s="152">
        <f t="shared" ref="I97:I99" si="1">$I$37*H97</f>
        <v>1.091931</v>
      </c>
      <c r="J97" s="15"/>
      <c r="K97" s="16"/>
    </row>
    <row r="98" spans="1:14" s="12" customFormat="1" x14ac:dyDescent="0.2">
      <c r="A98" s="126" t="s">
        <v>23</v>
      </c>
      <c r="B98" s="428" t="s">
        <v>344</v>
      </c>
      <c r="C98" s="428"/>
      <c r="D98" s="428"/>
      <c r="E98" s="428"/>
      <c r="F98" s="428"/>
      <c r="G98" s="428"/>
      <c r="H98" s="155">
        <v>2.0000000000000001E-4</v>
      </c>
      <c r="I98" s="152">
        <f t="shared" si="1"/>
        <v>0.72795399999999999</v>
      </c>
      <c r="J98" s="30"/>
      <c r="K98" s="17"/>
    </row>
    <row r="99" spans="1:14" s="12" customFormat="1" x14ac:dyDescent="0.2">
      <c r="A99" s="126" t="s">
        <v>25</v>
      </c>
      <c r="B99" s="428" t="s">
        <v>77</v>
      </c>
      <c r="C99" s="428"/>
      <c r="D99" s="428"/>
      <c r="E99" s="428"/>
      <c r="F99" s="428"/>
      <c r="G99" s="428"/>
      <c r="H99" s="155">
        <v>0</v>
      </c>
      <c r="I99" s="152">
        <f t="shared" si="1"/>
        <v>0</v>
      </c>
      <c r="J99" s="18"/>
      <c r="K99" s="30"/>
    </row>
    <row r="100" spans="1:14" s="12" customFormat="1" x14ac:dyDescent="0.2">
      <c r="A100" s="427" t="s">
        <v>78</v>
      </c>
      <c r="B100" s="427"/>
      <c r="C100" s="427"/>
      <c r="D100" s="427"/>
      <c r="E100" s="427"/>
      <c r="F100" s="427"/>
      <c r="G100" s="427"/>
      <c r="H100" s="157">
        <f>TRUNC(SUM(H94:H99),4)</f>
        <v>1.2800000000000001E-2</v>
      </c>
      <c r="I100" s="154">
        <f>TRUNC(SUM(I94:I99),2)</f>
        <v>46.58</v>
      </c>
      <c r="J100" s="3"/>
      <c r="K100" s="30"/>
    </row>
    <row r="101" spans="1:14" s="12" customFormat="1" x14ac:dyDescent="0.2">
      <c r="A101" s="440"/>
      <c r="B101" s="440"/>
      <c r="C101" s="440"/>
      <c r="D101" s="440"/>
      <c r="E101" s="440"/>
      <c r="F101" s="440"/>
      <c r="G101" s="440"/>
      <c r="H101" s="440"/>
      <c r="I101" s="440"/>
      <c r="J101" s="3"/>
      <c r="K101" s="30"/>
    </row>
    <row r="102" spans="1:14" s="12" customFormat="1" x14ac:dyDescent="0.2">
      <c r="A102" s="437" t="s">
        <v>79</v>
      </c>
      <c r="B102" s="437"/>
      <c r="C102" s="437"/>
      <c r="D102" s="437"/>
      <c r="E102" s="437"/>
      <c r="F102" s="437"/>
      <c r="G102" s="437"/>
      <c r="H102" s="166" t="s">
        <v>18</v>
      </c>
      <c r="I102" s="166" t="s">
        <v>19</v>
      </c>
      <c r="J102" s="3"/>
      <c r="K102" s="30"/>
    </row>
    <row r="103" spans="1:14" s="12" customFormat="1" x14ac:dyDescent="0.2">
      <c r="A103" s="368" t="s">
        <v>1</v>
      </c>
      <c r="B103" s="518" t="s">
        <v>80</v>
      </c>
      <c r="C103" s="518"/>
      <c r="D103" s="518"/>
      <c r="E103" s="518"/>
      <c r="F103" s="518"/>
      <c r="G103" s="518"/>
      <c r="H103" s="278">
        <v>0</v>
      </c>
      <c r="I103" s="369">
        <v>20.72</v>
      </c>
      <c r="J103" s="3"/>
      <c r="K103" s="30"/>
    </row>
    <row r="104" spans="1:14" s="12" customFormat="1" x14ac:dyDescent="0.2">
      <c r="A104" s="427" t="s">
        <v>81</v>
      </c>
      <c r="B104" s="427"/>
      <c r="C104" s="427"/>
      <c r="D104" s="427"/>
      <c r="E104" s="427"/>
      <c r="F104" s="427"/>
      <c r="G104" s="427"/>
      <c r="H104" s="157">
        <f>TRUNC(SUM(H103),4)</f>
        <v>0</v>
      </c>
      <c r="I104" s="152">
        <f>TRUNC(SUM(I103),2)</f>
        <v>20.72</v>
      </c>
      <c r="J104" s="3"/>
      <c r="K104" s="30"/>
    </row>
    <row r="105" spans="1:14" s="12" customFormat="1" x14ac:dyDescent="0.2">
      <c r="A105" s="439"/>
      <c r="B105" s="439"/>
      <c r="C105" s="439"/>
      <c r="D105" s="439"/>
      <c r="E105" s="439"/>
      <c r="F105" s="439"/>
      <c r="G105" s="439"/>
      <c r="H105" s="439"/>
      <c r="I105" s="439"/>
      <c r="J105" s="3"/>
      <c r="K105" s="30"/>
    </row>
    <row r="106" spans="1:14" s="12" customFormat="1" x14ac:dyDescent="0.2">
      <c r="A106" s="431" t="s">
        <v>82</v>
      </c>
      <c r="B106" s="431"/>
      <c r="C106" s="431"/>
      <c r="D106" s="431"/>
      <c r="E106" s="431"/>
      <c r="F106" s="431"/>
      <c r="G106" s="431"/>
      <c r="H106" s="431"/>
      <c r="I106" s="431"/>
      <c r="J106" s="3"/>
      <c r="K106" s="30"/>
    </row>
    <row r="107" spans="1:14" s="12" customFormat="1" x14ac:dyDescent="0.2">
      <c r="A107" s="427" t="s">
        <v>83</v>
      </c>
      <c r="B107" s="427"/>
      <c r="C107" s="427"/>
      <c r="D107" s="427"/>
      <c r="E107" s="427"/>
      <c r="F107" s="427"/>
      <c r="G107" s="427"/>
      <c r="H107" s="427"/>
      <c r="I107" s="150" t="s">
        <v>19</v>
      </c>
      <c r="J107" s="3"/>
      <c r="K107" s="30"/>
    </row>
    <row r="108" spans="1:14" s="12" customFormat="1" x14ac:dyDescent="0.2">
      <c r="A108" s="126" t="s">
        <v>84</v>
      </c>
      <c r="B108" s="495" t="s">
        <v>85</v>
      </c>
      <c r="C108" s="495"/>
      <c r="D108" s="495"/>
      <c r="E108" s="495"/>
      <c r="F108" s="495"/>
      <c r="G108" s="495"/>
      <c r="H108" s="495"/>
      <c r="I108" s="152">
        <f>I100</f>
        <v>46.58</v>
      </c>
      <c r="J108" s="3"/>
      <c r="K108" s="30"/>
    </row>
    <row r="109" spans="1:14" s="12" customFormat="1" x14ac:dyDescent="0.2">
      <c r="A109" s="126" t="s">
        <v>86</v>
      </c>
      <c r="B109" s="495" t="s">
        <v>87</v>
      </c>
      <c r="C109" s="495"/>
      <c r="D109" s="495"/>
      <c r="E109" s="495"/>
      <c r="F109" s="495"/>
      <c r="G109" s="495"/>
      <c r="H109" s="495"/>
      <c r="I109" s="152">
        <f>I104</f>
        <v>20.72</v>
      </c>
      <c r="J109" s="3"/>
      <c r="K109" s="30"/>
      <c r="M109" s="40"/>
      <c r="N109" s="56">
        <f>M109/2</f>
        <v>0</v>
      </c>
    </row>
    <row r="110" spans="1:14" s="12" customFormat="1" x14ac:dyDescent="0.2">
      <c r="A110" s="427" t="s">
        <v>88</v>
      </c>
      <c r="B110" s="427"/>
      <c r="C110" s="427"/>
      <c r="D110" s="427"/>
      <c r="E110" s="427"/>
      <c r="F110" s="427"/>
      <c r="G110" s="427"/>
      <c r="H110" s="427"/>
      <c r="I110" s="154">
        <f>TRUNC(SUM(I108:I109),2)</f>
        <v>67.3</v>
      </c>
      <c r="J110" s="3"/>
      <c r="K110" s="30"/>
    </row>
    <row r="111" spans="1:14" s="12" customFormat="1" x14ac:dyDescent="0.2">
      <c r="A111" s="436"/>
      <c r="B111" s="436"/>
      <c r="C111" s="436"/>
      <c r="D111" s="436"/>
      <c r="E111" s="436"/>
      <c r="F111" s="436"/>
      <c r="G111" s="436"/>
      <c r="H111" s="436"/>
      <c r="I111" s="436"/>
      <c r="J111" s="3"/>
      <c r="K111" s="30"/>
      <c r="M111" s="58"/>
    </row>
    <row r="112" spans="1:14" s="12" customFormat="1" x14ac:dyDescent="0.2">
      <c r="A112" s="431" t="s">
        <v>89</v>
      </c>
      <c r="B112" s="431"/>
      <c r="C112" s="431"/>
      <c r="D112" s="431"/>
      <c r="E112" s="431"/>
      <c r="F112" s="431"/>
      <c r="G112" s="431"/>
      <c r="H112" s="431"/>
      <c r="I112" s="431"/>
      <c r="J112" s="3"/>
      <c r="K112" s="30"/>
    </row>
    <row r="113" spans="1:11" s="12" customFormat="1" x14ac:dyDescent="0.2">
      <c r="A113" s="126">
        <v>5</v>
      </c>
      <c r="B113" s="508" t="s">
        <v>90</v>
      </c>
      <c r="C113" s="508"/>
      <c r="D113" s="508"/>
      <c r="E113" s="508"/>
      <c r="F113" s="508"/>
      <c r="G113" s="508"/>
      <c r="H113" s="150"/>
      <c r="I113" s="150" t="s">
        <v>19</v>
      </c>
      <c r="J113" s="3"/>
      <c r="K113" s="30"/>
    </row>
    <row r="114" spans="1:11" s="12" customFormat="1" x14ac:dyDescent="0.2">
      <c r="A114" s="126" t="s">
        <v>1</v>
      </c>
      <c r="B114" s="493" t="s">
        <v>91</v>
      </c>
      <c r="C114" s="493"/>
      <c r="D114" s="493"/>
      <c r="E114" s="493"/>
      <c r="F114" s="493"/>
      <c r="G114" s="493"/>
      <c r="H114" s="167" t="s">
        <v>92</v>
      </c>
      <c r="I114" s="152">
        <f>UNIFORME_EPI!H13</f>
        <v>53.9</v>
      </c>
      <c r="J114" s="3"/>
      <c r="K114" s="30"/>
    </row>
    <row r="115" spans="1:11" s="12" customFormat="1" x14ac:dyDescent="0.2">
      <c r="A115" s="126" t="s">
        <v>2</v>
      </c>
      <c r="B115" s="493" t="s">
        <v>447</v>
      </c>
      <c r="C115" s="493"/>
      <c r="D115" s="493"/>
      <c r="E115" s="493"/>
      <c r="F115" s="493"/>
      <c r="G115" s="493"/>
      <c r="H115" s="167" t="s">
        <v>92</v>
      </c>
      <c r="I115" s="152">
        <f>EQUIPAMENTOS!G16</f>
        <v>4.3181190476190476</v>
      </c>
      <c r="J115" s="3"/>
      <c r="K115" s="30"/>
    </row>
    <row r="116" spans="1:11" s="12" customFormat="1" x14ac:dyDescent="0.2">
      <c r="A116" s="298" t="s">
        <v>4</v>
      </c>
      <c r="B116" s="493" t="s">
        <v>400</v>
      </c>
      <c r="C116" s="493"/>
      <c r="D116" s="493"/>
      <c r="E116" s="493"/>
      <c r="F116" s="493"/>
      <c r="G116" s="493"/>
      <c r="H116" s="167" t="s">
        <v>92</v>
      </c>
      <c r="I116" s="152">
        <f>MOTOCICLETA!G8</f>
        <v>347.91666666666669</v>
      </c>
      <c r="J116" s="3"/>
      <c r="K116" s="30"/>
    </row>
    <row r="117" spans="1:11" s="12" customFormat="1" x14ac:dyDescent="0.2">
      <c r="A117" s="19" t="s">
        <v>6</v>
      </c>
      <c r="B117" s="493" t="s">
        <v>402</v>
      </c>
      <c r="C117" s="493"/>
      <c r="D117" s="493"/>
      <c r="E117" s="493"/>
      <c r="F117" s="493"/>
      <c r="G117" s="493"/>
      <c r="H117" s="300"/>
      <c r="I117" s="152">
        <f>UNIFORME_EPI!H48</f>
        <v>35.166666666666664</v>
      </c>
      <c r="J117" s="3"/>
      <c r="K117" s="30"/>
    </row>
    <row r="118" spans="1:11" s="12" customFormat="1" x14ac:dyDescent="0.2">
      <c r="A118" s="19" t="s">
        <v>23</v>
      </c>
      <c r="B118" s="493" t="s">
        <v>212</v>
      </c>
      <c r="C118" s="493"/>
      <c r="D118" s="493"/>
      <c r="E118" s="493"/>
      <c r="F118" s="493"/>
      <c r="G118" s="493"/>
      <c r="H118" s="167" t="s">
        <v>92</v>
      </c>
      <c r="I118" s="152">
        <f>'RELÓGIO_ PONTO '!G8</f>
        <v>4.4444444444444438</v>
      </c>
      <c r="J118" s="3"/>
      <c r="K118" s="30"/>
    </row>
    <row r="119" spans="1:11" s="12" customFormat="1" x14ac:dyDescent="0.2">
      <c r="A119" s="427" t="s">
        <v>93</v>
      </c>
      <c r="B119" s="427"/>
      <c r="C119" s="427"/>
      <c r="D119" s="427"/>
      <c r="E119" s="427"/>
      <c r="F119" s="427"/>
      <c r="G119" s="427"/>
      <c r="H119" s="157" t="s">
        <v>92</v>
      </c>
      <c r="I119" s="154">
        <f>TRUNC(SUM(I114:I118),2)</f>
        <v>445.74</v>
      </c>
      <c r="J119" s="3"/>
      <c r="K119" s="30"/>
    </row>
    <row r="120" spans="1:11" s="12" customFormat="1" x14ac:dyDescent="0.2">
      <c r="A120" s="436"/>
      <c r="B120" s="436"/>
      <c r="C120" s="436"/>
      <c r="D120" s="436"/>
      <c r="E120" s="436"/>
      <c r="F120" s="436"/>
      <c r="G120" s="436"/>
      <c r="H120" s="436"/>
      <c r="I120" s="436"/>
      <c r="J120" s="3"/>
      <c r="K120" s="30"/>
    </row>
    <row r="121" spans="1:11" s="12" customFormat="1" x14ac:dyDescent="0.2">
      <c r="A121" s="431" t="s">
        <v>94</v>
      </c>
      <c r="B121" s="431"/>
      <c r="C121" s="431"/>
      <c r="D121" s="431"/>
      <c r="E121" s="431"/>
      <c r="F121" s="431"/>
      <c r="G121" s="431"/>
      <c r="H121" s="431"/>
      <c r="I121" s="431"/>
      <c r="J121" s="3"/>
      <c r="K121" s="30"/>
    </row>
    <row r="122" spans="1:11" s="12" customFormat="1" x14ac:dyDescent="0.2">
      <c r="A122" s="126">
        <v>6</v>
      </c>
      <c r="B122" s="508" t="s">
        <v>95</v>
      </c>
      <c r="C122" s="508"/>
      <c r="D122" s="508"/>
      <c r="E122" s="508"/>
      <c r="F122" s="508"/>
      <c r="G122" s="508"/>
      <c r="H122" s="150" t="s">
        <v>18</v>
      </c>
      <c r="I122" s="150" t="s">
        <v>19</v>
      </c>
      <c r="J122" s="3"/>
      <c r="K122" s="30"/>
    </row>
    <row r="123" spans="1:11" s="12" customFormat="1" x14ac:dyDescent="0.2">
      <c r="A123" s="126" t="s">
        <v>1</v>
      </c>
      <c r="B123" s="494" t="s">
        <v>96</v>
      </c>
      <c r="C123" s="494"/>
      <c r="D123" s="494"/>
      <c r="E123" s="494"/>
      <c r="F123" s="494"/>
      <c r="G123" s="494"/>
      <c r="H123" s="168">
        <v>0.04</v>
      </c>
      <c r="I123" s="152">
        <f>TRUNC(H123*I147,2)</f>
        <v>315.55</v>
      </c>
      <c r="J123" s="3"/>
      <c r="K123" s="30"/>
    </row>
    <row r="124" spans="1:11" s="12" customFormat="1" x14ac:dyDescent="0.2">
      <c r="A124" s="126" t="s">
        <v>2</v>
      </c>
      <c r="B124" s="494" t="s">
        <v>97</v>
      </c>
      <c r="C124" s="494"/>
      <c r="D124" s="494"/>
      <c r="E124" s="494"/>
      <c r="F124" s="494"/>
      <c r="G124" s="494"/>
      <c r="H124" s="168">
        <v>0.04</v>
      </c>
      <c r="I124" s="152">
        <f>TRUNC(H124*(I123+I147),2)</f>
        <v>328.17</v>
      </c>
      <c r="J124" s="3"/>
      <c r="K124" s="30"/>
    </row>
    <row r="125" spans="1:11" s="12" customFormat="1" x14ac:dyDescent="0.2">
      <c r="A125" s="126" t="s">
        <v>4</v>
      </c>
      <c r="B125" s="523" t="s">
        <v>98</v>
      </c>
      <c r="C125" s="523"/>
      <c r="D125" s="523"/>
      <c r="E125" s="523"/>
      <c r="F125" s="523"/>
      <c r="G125" s="523"/>
      <c r="H125" s="153"/>
      <c r="I125" s="152"/>
      <c r="J125" s="3"/>
      <c r="K125" s="30"/>
    </row>
    <row r="126" spans="1:11" s="12" customFormat="1" x14ac:dyDescent="0.2">
      <c r="A126" s="126" t="s">
        <v>99</v>
      </c>
      <c r="B126" s="494" t="s">
        <v>100</v>
      </c>
      <c r="C126" s="494"/>
      <c r="D126" s="494"/>
      <c r="E126" s="494"/>
      <c r="F126" s="494"/>
      <c r="G126" s="494"/>
      <c r="H126" s="169">
        <v>1.6500000000000001E-2</v>
      </c>
      <c r="I126" s="152">
        <f>TRUNC(H126*I136,2)</f>
        <v>164.18</v>
      </c>
      <c r="J126" s="3"/>
      <c r="K126" s="30"/>
    </row>
    <row r="127" spans="1:11" s="12" customFormat="1" x14ac:dyDescent="0.2">
      <c r="A127" s="126" t="s">
        <v>101</v>
      </c>
      <c r="B127" s="494" t="s">
        <v>102</v>
      </c>
      <c r="C127" s="494"/>
      <c r="D127" s="494"/>
      <c r="E127" s="494"/>
      <c r="F127" s="494"/>
      <c r="G127" s="494"/>
      <c r="H127" s="169">
        <v>7.5999999999999998E-2</v>
      </c>
      <c r="I127" s="152">
        <f>TRUNC(H127*I136,2)</f>
        <v>756.24</v>
      </c>
      <c r="J127" s="3"/>
      <c r="K127" s="30"/>
    </row>
    <row r="128" spans="1:11" s="12" customFormat="1" x14ac:dyDescent="0.2">
      <c r="A128" s="126" t="s">
        <v>103</v>
      </c>
      <c r="B128" s="494" t="s">
        <v>104</v>
      </c>
      <c r="C128" s="494"/>
      <c r="D128" s="494"/>
      <c r="E128" s="494"/>
      <c r="F128" s="494"/>
      <c r="G128" s="494"/>
      <c r="H128" s="169">
        <v>0.05</v>
      </c>
      <c r="I128" s="152">
        <f>TRUNC(H128*I136,2)</f>
        <v>497.52</v>
      </c>
      <c r="J128" s="3"/>
      <c r="K128" s="40"/>
    </row>
    <row r="129" spans="1:11" s="12" customFormat="1" x14ac:dyDescent="0.2">
      <c r="A129" s="427" t="s">
        <v>105</v>
      </c>
      <c r="B129" s="427"/>
      <c r="C129" s="427"/>
      <c r="D129" s="427"/>
      <c r="E129" s="427"/>
      <c r="F129" s="427"/>
      <c r="G129" s="427"/>
      <c r="H129" s="170">
        <f>SUM(H123:H128)</f>
        <v>0.22249999999999998</v>
      </c>
      <c r="I129" s="152">
        <f>TRUNC(SUM(I123:I128),2)</f>
        <v>2061.66</v>
      </c>
      <c r="J129" s="3"/>
      <c r="K129" s="30"/>
    </row>
    <row r="130" spans="1:11" s="12" customFormat="1" x14ac:dyDescent="0.2">
      <c r="A130" s="125"/>
      <c r="B130" s="521"/>
      <c r="C130" s="521"/>
      <c r="D130" s="521"/>
      <c r="E130" s="521"/>
      <c r="F130" s="521"/>
      <c r="G130" s="521"/>
      <c r="H130" s="521"/>
      <c r="I130" s="521"/>
      <c r="K130" s="30"/>
    </row>
    <row r="131" spans="1:11" s="12" customFormat="1" hidden="1" x14ac:dyDescent="0.2">
      <c r="A131" s="21" t="s">
        <v>106</v>
      </c>
      <c r="B131" s="522" t="s">
        <v>107</v>
      </c>
      <c r="C131" s="522"/>
      <c r="D131" s="522"/>
      <c r="E131" s="522"/>
      <c r="F131" s="522"/>
      <c r="G131" s="522"/>
      <c r="H131" s="171">
        <f>TRUNC(H126+H127+H128,4)</f>
        <v>0.14249999999999999</v>
      </c>
      <c r="I131" s="172"/>
      <c r="K131" s="30"/>
    </row>
    <row r="132" spans="1:11" s="12" customFormat="1" hidden="1" x14ac:dyDescent="0.2">
      <c r="A132" s="23"/>
      <c r="B132" s="519">
        <v>100</v>
      </c>
      <c r="C132" s="519"/>
      <c r="D132" s="519"/>
      <c r="E132" s="519"/>
      <c r="F132" s="519"/>
      <c r="G132" s="519"/>
      <c r="H132" s="173"/>
      <c r="I132" s="174"/>
      <c r="K132" s="30"/>
    </row>
    <row r="133" spans="1:11" s="12" customFormat="1" hidden="1" x14ac:dyDescent="0.2">
      <c r="A133" s="25"/>
      <c r="B133" s="175"/>
      <c r="C133" s="175"/>
      <c r="D133" s="175"/>
      <c r="E133" s="175"/>
      <c r="F133" s="175"/>
      <c r="G133" s="175"/>
      <c r="H133" s="173"/>
      <c r="I133" s="174"/>
      <c r="K133" s="30"/>
    </row>
    <row r="134" spans="1:11" s="12" customFormat="1" hidden="1" x14ac:dyDescent="0.2">
      <c r="A134" s="23" t="s">
        <v>108</v>
      </c>
      <c r="B134" s="519" t="s">
        <v>109</v>
      </c>
      <c r="C134" s="519"/>
      <c r="D134" s="519"/>
      <c r="E134" s="519"/>
      <c r="F134" s="519"/>
      <c r="G134" s="519"/>
      <c r="H134" s="173"/>
      <c r="I134" s="174">
        <f>TRUNC(I147+I123+I124,2)</f>
        <v>8532.61</v>
      </c>
      <c r="K134" s="30"/>
    </row>
    <row r="135" spans="1:11" s="12" customFormat="1" hidden="1" x14ac:dyDescent="0.2">
      <c r="A135" s="23"/>
      <c r="B135" s="175"/>
      <c r="C135" s="175"/>
      <c r="D135" s="175"/>
      <c r="E135" s="175"/>
      <c r="F135" s="175"/>
      <c r="G135" s="175"/>
      <c r="H135" s="173"/>
      <c r="I135" s="174"/>
      <c r="K135" s="30"/>
    </row>
    <row r="136" spans="1:11" s="12" customFormat="1" hidden="1" x14ac:dyDescent="0.2">
      <c r="A136" s="23" t="s">
        <v>110</v>
      </c>
      <c r="B136" s="519" t="s">
        <v>111</v>
      </c>
      <c r="C136" s="519"/>
      <c r="D136" s="519"/>
      <c r="E136" s="519"/>
      <c r="F136" s="519"/>
      <c r="G136" s="519"/>
      <c r="H136" s="173"/>
      <c r="I136" s="174">
        <f>TRUNC(I134/(1-H131),2)</f>
        <v>9950.56</v>
      </c>
      <c r="K136" s="30"/>
    </row>
    <row r="137" spans="1:11" s="12" customFormat="1" hidden="1" x14ac:dyDescent="0.2">
      <c r="A137" s="23"/>
      <c r="B137" s="175"/>
      <c r="C137" s="175"/>
      <c r="D137" s="175"/>
      <c r="E137" s="175"/>
      <c r="F137" s="175"/>
      <c r="G137" s="175"/>
      <c r="H137" s="173"/>
      <c r="I137" s="174"/>
      <c r="K137" s="30"/>
    </row>
    <row r="138" spans="1:11" s="12" customFormat="1" hidden="1" x14ac:dyDescent="0.2">
      <c r="A138" s="26"/>
      <c r="B138" s="520" t="s">
        <v>112</v>
      </c>
      <c r="C138" s="520"/>
      <c r="D138" s="520"/>
      <c r="E138" s="520"/>
      <c r="F138" s="520"/>
      <c r="G138" s="520"/>
      <c r="H138" s="176"/>
      <c r="I138" s="177">
        <f>TRUNC(I136-I134,2)</f>
        <v>1417.95</v>
      </c>
      <c r="K138" s="28"/>
    </row>
    <row r="139" spans="1:11" s="12" customFormat="1" ht="2.25" customHeight="1" x14ac:dyDescent="0.2">
      <c r="A139" s="125"/>
      <c r="B139" s="146"/>
      <c r="C139" s="146"/>
      <c r="D139" s="146"/>
      <c r="E139" s="146"/>
      <c r="F139" s="146"/>
      <c r="G139" s="146"/>
      <c r="H139" s="146"/>
      <c r="I139" s="178"/>
      <c r="K139" s="30"/>
    </row>
    <row r="140" spans="1:11" s="12" customFormat="1" x14ac:dyDescent="0.2">
      <c r="A140" s="490" t="s">
        <v>113</v>
      </c>
      <c r="B140" s="490"/>
      <c r="C140" s="490"/>
      <c r="D140" s="490"/>
      <c r="E140" s="490"/>
      <c r="F140" s="490"/>
      <c r="G140" s="490"/>
      <c r="H140" s="490"/>
      <c r="I140" s="490"/>
      <c r="K140" s="29"/>
    </row>
    <row r="141" spans="1:11" s="12" customFormat="1" x14ac:dyDescent="0.2">
      <c r="A141" s="427" t="s">
        <v>114</v>
      </c>
      <c r="B141" s="427"/>
      <c r="C141" s="427"/>
      <c r="D141" s="427"/>
      <c r="E141" s="427"/>
      <c r="F141" s="427"/>
      <c r="G141" s="427"/>
      <c r="H141" s="427"/>
      <c r="I141" s="150" t="s">
        <v>19</v>
      </c>
      <c r="K141" s="30"/>
    </row>
    <row r="142" spans="1:11" s="12" customFormat="1" x14ac:dyDescent="0.2">
      <c r="A142" s="124" t="s">
        <v>1</v>
      </c>
      <c r="B142" s="494" t="str">
        <f>A27</f>
        <v>MÓDULO 1 - COMPOSIÇÃO DA REMUNERAÇÃO</v>
      </c>
      <c r="C142" s="494"/>
      <c r="D142" s="494"/>
      <c r="E142" s="494"/>
      <c r="F142" s="494"/>
      <c r="G142" s="494"/>
      <c r="H142" s="494"/>
      <c r="I142" s="152">
        <f>I37</f>
        <v>3639.77</v>
      </c>
      <c r="K142" s="30"/>
    </row>
    <row r="143" spans="1:11" s="12" customFormat="1" x14ac:dyDescent="0.2">
      <c r="A143" s="124" t="s">
        <v>2</v>
      </c>
      <c r="B143" s="494" t="str">
        <f>A39</f>
        <v>MÓDULO 2 – ENCARGOS E BENEFÍCIOS ANUAIS, MENSAIS E DIÁRIOS</v>
      </c>
      <c r="C143" s="494"/>
      <c r="D143" s="494"/>
      <c r="E143" s="494"/>
      <c r="F143" s="494"/>
      <c r="G143" s="494"/>
      <c r="H143" s="494"/>
      <c r="I143" s="152">
        <f>I81</f>
        <v>3473.7</v>
      </c>
      <c r="K143" s="30"/>
    </row>
    <row r="144" spans="1:11" s="12" customFormat="1" x14ac:dyDescent="0.2">
      <c r="A144" s="124" t="s">
        <v>4</v>
      </c>
      <c r="B144" s="494" t="str">
        <f>A83</f>
        <v>MÓDULO 3 – PROVISÃO PARA RESCISÃO</v>
      </c>
      <c r="C144" s="494"/>
      <c r="D144" s="494"/>
      <c r="E144" s="494"/>
      <c r="F144" s="494"/>
      <c r="G144" s="494"/>
      <c r="H144" s="494"/>
      <c r="I144" s="152">
        <f>I90</f>
        <v>262.38</v>
      </c>
      <c r="K144" s="29"/>
    </row>
    <row r="145" spans="1:11" s="12" customFormat="1" x14ac:dyDescent="0.2">
      <c r="A145" s="124" t="s">
        <v>6</v>
      </c>
      <c r="B145" s="494" t="str">
        <f>A92</f>
        <v>MÓDULO 4 – CUSTO DE REPOSIÇÃO DO PROFISSIONAL AUSENTE</v>
      </c>
      <c r="C145" s="494"/>
      <c r="D145" s="494"/>
      <c r="E145" s="494"/>
      <c r="F145" s="494"/>
      <c r="G145" s="494"/>
      <c r="H145" s="494"/>
      <c r="I145" s="152">
        <f>I110</f>
        <v>67.3</v>
      </c>
      <c r="K145" s="29"/>
    </row>
    <row r="146" spans="1:11" s="12" customFormat="1" x14ac:dyDescent="0.2">
      <c r="A146" s="124" t="s">
        <v>23</v>
      </c>
      <c r="B146" s="494" t="str">
        <f>A112</f>
        <v>MÓDULO 5 – INSUMOS DIVERSOS</v>
      </c>
      <c r="C146" s="494"/>
      <c r="D146" s="494"/>
      <c r="E146" s="494"/>
      <c r="F146" s="494"/>
      <c r="G146" s="494"/>
      <c r="H146" s="494"/>
      <c r="I146" s="152">
        <f>I119</f>
        <v>445.74</v>
      </c>
      <c r="K146" s="30"/>
    </row>
    <row r="147" spans="1:11" s="12" customFormat="1" x14ac:dyDescent="0.2">
      <c r="A147" s="126"/>
      <c r="B147" s="508" t="s">
        <v>115</v>
      </c>
      <c r="C147" s="508"/>
      <c r="D147" s="508"/>
      <c r="E147" s="508"/>
      <c r="F147" s="508"/>
      <c r="G147" s="508"/>
      <c r="H147" s="508"/>
      <c r="I147" s="152">
        <f>TRUNC(SUM(I142:I146),2)</f>
        <v>7888.89</v>
      </c>
      <c r="J147" s="40"/>
      <c r="K147" s="28"/>
    </row>
    <row r="148" spans="1:11" s="12" customFormat="1" x14ac:dyDescent="0.2">
      <c r="A148" s="124" t="s">
        <v>25</v>
      </c>
      <c r="B148" s="494" t="str">
        <f>A121</f>
        <v>MÓDULO 6 – CUSTOS INDIRETOS, TRIBUTOS E LUCRO</v>
      </c>
      <c r="C148" s="494"/>
      <c r="D148" s="494"/>
      <c r="E148" s="494"/>
      <c r="F148" s="494"/>
      <c r="G148" s="494"/>
      <c r="H148" s="494"/>
      <c r="I148" s="152">
        <f>I129</f>
        <v>2061.66</v>
      </c>
    </row>
    <row r="149" spans="1:11" s="12" customFormat="1" x14ac:dyDescent="0.2">
      <c r="A149" s="427" t="s">
        <v>116</v>
      </c>
      <c r="B149" s="427"/>
      <c r="C149" s="427"/>
      <c r="D149" s="427"/>
      <c r="E149" s="427"/>
      <c r="F149" s="427"/>
      <c r="G149" s="427"/>
      <c r="H149" s="427"/>
      <c r="I149" s="179">
        <f>TRUNC(SUM(I147:I148),2)</f>
        <v>9950.5499999999993</v>
      </c>
      <c r="J149" s="56"/>
      <c r="K149" s="56"/>
    </row>
    <row r="150" spans="1:11" s="12" customFormat="1" x14ac:dyDescent="0.2">
      <c r="A150" s="30"/>
      <c r="B150" s="180"/>
      <c r="C150" s="180"/>
      <c r="D150" s="180"/>
      <c r="E150" s="180"/>
      <c r="F150" s="180"/>
      <c r="G150" s="180"/>
      <c r="H150" s="180"/>
      <c r="I150" s="181"/>
    </row>
  </sheetData>
  <mergeCells count="153">
    <mergeCell ref="A1:I1"/>
    <mergeCell ref="A2:I2"/>
    <mergeCell ref="A4:I4"/>
    <mergeCell ref="A6:I6"/>
    <mergeCell ref="A8:I8"/>
    <mergeCell ref="B144:H144"/>
    <mergeCell ref="B145:H145"/>
    <mergeCell ref="B146:H146"/>
    <mergeCell ref="B147:H147"/>
    <mergeCell ref="B122:G122"/>
    <mergeCell ref="B123:G123"/>
    <mergeCell ref="B124:G124"/>
    <mergeCell ref="B125:G125"/>
    <mergeCell ref="B126:G126"/>
    <mergeCell ref="B127:G127"/>
    <mergeCell ref="B115:G115"/>
    <mergeCell ref="B116:G116"/>
    <mergeCell ref="B118:G118"/>
    <mergeCell ref="A119:G119"/>
    <mergeCell ref="A120:I120"/>
    <mergeCell ref="A121:I121"/>
    <mergeCell ref="B109:H109"/>
    <mergeCell ref="A110:H110"/>
    <mergeCell ref="A111:I111"/>
    <mergeCell ref="B148:H148"/>
    <mergeCell ref="A149:H149"/>
    <mergeCell ref="B136:G136"/>
    <mergeCell ref="B138:G138"/>
    <mergeCell ref="A140:I140"/>
    <mergeCell ref="A141:H141"/>
    <mergeCell ref="B142:H142"/>
    <mergeCell ref="B143:H143"/>
    <mergeCell ref="B128:G128"/>
    <mergeCell ref="A129:G129"/>
    <mergeCell ref="B130:I130"/>
    <mergeCell ref="B131:G131"/>
    <mergeCell ref="B132:G132"/>
    <mergeCell ref="B134:G134"/>
    <mergeCell ref="A112:I112"/>
    <mergeCell ref="B113:G113"/>
    <mergeCell ref="B114:G114"/>
    <mergeCell ref="B103:G103"/>
    <mergeCell ref="A104:G104"/>
    <mergeCell ref="A105:I105"/>
    <mergeCell ref="A106:I106"/>
    <mergeCell ref="A107:H107"/>
    <mergeCell ref="B108:H108"/>
    <mergeCell ref="B97:G97"/>
    <mergeCell ref="B98:G98"/>
    <mergeCell ref="B99:G99"/>
    <mergeCell ref="A100:G100"/>
    <mergeCell ref="A101:I101"/>
    <mergeCell ref="A102:G102"/>
    <mergeCell ref="A91:I91"/>
    <mergeCell ref="A92:I92"/>
    <mergeCell ref="A93:G93"/>
    <mergeCell ref="B94:G94"/>
    <mergeCell ref="B95:G95"/>
    <mergeCell ref="B96:G96"/>
    <mergeCell ref="B86:G86"/>
    <mergeCell ref="B87:G87"/>
    <mergeCell ref="B88:G88"/>
    <mergeCell ref="B89:G89"/>
    <mergeCell ref="A90:G90"/>
    <mergeCell ref="B79:H79"/>
    <mergeCell ref="B80:H80"/>
    <mergeCell ref="A81:H81"/>
    <mergeCell ref="A83:I83"/>
    <mergeCell ref="B84:G84"/>
    <mergeCell ref="B85:G85"/>
    <mergeCell ref="A73:I73"/>
    <mergeCell ref="A74:I74"/>
    <mergeCell ref="A75:I75"/>
    <mergeCell ref="A76:I76"/>
    <mergeCell ref="A77:H77"/>
    <mergeCell ref="B78:H78"/>
    <mergeCell ref="B68:G68"/>
    <mergeCell ref="B69:G69"/>
    <mergeCell ref="A70:H70"/>
    <mergeCell ref="A71:I71"/>
    <mergeCell ref="A72:I72"/>
    <mergeCell ref="J72:R72"/>
    <mergeCell ref="A62:I62"/>
    <mergeCell ref="A63:G63"/>
    <mergeCell ref="B64:G64"/>
    <mergeCell ref="B65:G65"/>
    <mergeCell ref="B66:G66"/>
    <mergeCell ref="B67:G67"/>
    <mergeCell ref="B56:G56"/>
    <mergeCell ref="B57:G57"/>
    <mergeCell ref="B58:G58"/>
    <mergeCell ref="B59:G59"/>
    <mergeCell ref="B60:G60"/>
    <mergeCell ref="A61:G61"/>
    <mergeCell ref="A50:I50"/>
    <mergeCell ref="A51:G51"/>
    <mergeCell ref="B52:G52"/>
    <mergeCell ref="B53:G53"/>
    <mergeCell ref="B54:G55"/>
    <mergeCell ref="I54:I55"/>
    <mergeCell ref="B42:G42"/>
    <mergeCell ref="A46:I46"/>
    <mergeCell ref="A47:I47"/>
    <mergeCell ref="A48:I48"/>
    <mergeCell ref="A49:I49"/>
    <mergeCell ref="A43:G43"/>
    <mergeCell ref="A45:G45"/>
    <mergeCell ref="A37:H37"/>
    <mergeCell ref="A38:I38"/>
    <mergeCell ref="A39:I39"/>
    <mergeCell ref="A40:G40"/>
    <mergeCell ref="B41:G41"/>
    <mergeCell ref="B28:G28"/>
    <mergeCell ref="B29:G29"/>
    <mergeCell ref="B30:G30"/>
    <mergeCell ref="B34:G34"/>
    <mergeCell ref="B35:G35"/>
    <mergeCell ref="A27:I27"/>
    <mergeCell ref="A20:I20"/>
    <mergeCell ref="B21:G21"/>
    <mergeCell ref="H21:I21"/>
    <mergeCell ref="B22:G22"/>
    <mergeCell ref="H22:I22"/>
    <mergeCell ref="B23:G23"/>
    <mergeCell ref="H23:I23"/>
    <mergeCell ref="B36:G36"/>
    <mergeCell ref="B31:G31"/>
    <mergeCell ref="B32:G32"/>
    <mergeCell ref="B33:G33"/>
    <mergeCell ref="B117:G117"/>
    <mergeCell ref="B44:G44"/>
    <mergeCell ref="A3:I3"/>
    <mergeCell ref="A10:I10"/>
    <mergeCell ref="B11:G11"/>
    <mergeCell ref="H11:I11"/>
    <mergeCell ref="A16:I16"/>
    <mergeCell ref="A17:B17"/>
    <mergeCell ref="C17:D17"/>
    <mergeCell ref="E17:I17"/>
    <mergeCell ref="A18:B18"/>
    <mergeCell ref="C18:D18"/>
    <mergeCell ref="E18:I18"/>
    <mergeCell ref="B12:G12"/>
    <mergeCell ref="H12:I12"/>
    <mergeCell ref="B13:G13"/>
    <mergeCell ref="H13:I13"/>
    <mergeCell ref="B14:G14"/>
    <mergeCell ref="H14:I14"/>
    <mergeCell ref="B24:G24"/>
    <mergeCell ref="H24:I24"/>
    <mergeCell ref="B25:G25"/>
    <mergeCell ref="H25:I25"/>
    <mergeCell ref="A26:I26"/>
  </mergeCells>
  <pageMargins left="0.51181102362204722" right="0.51181102362204722" top="1.6535433070866143" bottom="1.299212598425197" header="0.11811023622047245" footer="0.31496062992125984"/>
  <pageSetup paperSize="9" scale="74" orientation="portrait" r:id="rId1"/>
  <rowBreaks count="1" manualBreakCount="1">
    <brk id="74" max="8" man="1"/>
  </rowBreaks>
  <ignoredErrors>
    <ignoredError sqref="I44"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K150"/>
  <sheetViews>
    <sheetView view="pageBreakPreview" topLeftCell="A5" zoomScale="140" zoomScaleNormal="100" zoomScaleSheetLayoutView="140" workbookViewId="0">
      <selection activeCell="E18" sqref="E18:I18"/>
    </sheetView>
  </sheetViews>
  <sheetFormatPr defaultRowHeight="12.75" x14ac:dyDescent="0.2"/>
  <cols>
    <col min="1" max="1" width="9.140625" style="12"/>
    <col min="2" max="2" width="11.7109375" style="12" customWidth="1"/>
    <col min="3" max="6" width="9.140625" style="12"/>
    <col min="7" max="7" width="13.42578125" style="12" customWidth="1"/>
    <col min="8" max="8" width="14.140625" style="12" customWidth="1"/>
    <col min="9" max="9" width="16.42578125" style="203" bestFit="1" customWidth="1"/>
    <col min="10" max="10" width="9.140625" style="12"/>
    <col min="11" max="11" width="14.28515625" style="12" bestFit="1" customWidth="1"/>
    <col min="12" max="12" width="9.140625" style="12"/>
    <col min="13" max="13" width="13.7109375" style="12" bestFit="1" customWidth="1"/>
    <col min="14" max="1025" width="9.140625" style="12"/>
    <col min="1026" max="16384" width="9.140625" style="30"/>
  </cols>
  <sheetData>
    <row r="1" spans="1:15" x14ac:dyDescent="0.2">
      <c r="A1" s="479" t="s">
        <v>318</v>
      </c>
      <c r="B1" s="479"/>
      <c r="C1" s="479"/>
      <c r="D1" s="479"/>
      <c r="E1" s="479"/>
      <c r="F1" s="479"/>
      <c r="G1" s="479"/>
      <c r="H1" s="479"/>
      <c r="I1" s="479"/>
    </row>
    <row r="2" spans="1:15" x14ac:dyDescent="0.2">
      <c r="A2" s="479" t="s">
        <v>319</v>
      </c>
      <c r="B2" s="479"/>
      <c r="C2" s="479"/>
      <c r="D2" s="479"/>
      <c r="E2" s="479"/>
      <c r="F2" s="479"/>
      <c r="G2" s="479"/>
      <c r="H2" s="479"/>
      <c r="I2" s="479"/>
    </row>
    <row r="3" spans="1:15" x14ac:dyDescent="0.2">
      <c r="A3" s="479" t="s">
        <v>320</v>
      </c>
      <c r="B3" s="479"/>
      <c r="C3" s="479"/>
      <c r="D3" s="479"/>
      <c r="E3" s="479"/>
      <c r="F3" s="479"/>
      <c r="G3" s="479"/>
      <c r="H3" s="479"/>
      <c r="I3" s="479"/>
    </row>
    <row r="4" spans="1:15" s="133" customFormat="1" ht="12.75" customHeight="1" x14ac:dyDescent="0.2">
      <c r="A4" s="470"/>
      <c r="B4" s="470"/>
      <c r="C4" s="470"/>
      <c r="D4" s="470"/>
      <c r="E4" s="470"/>
      <c r="F4" s="470"/>
      <c r="G4" s="470"/>
      <c r="H4" s="470"/>
      <c r="I4" s="470"/>
    </row>
    <row r="5" spans="1:15" s="133" customFormat="1" ht="12.75" customHeight="1" x14ac:dyDescent="0.2">
      <c r="A5" s="125"/>
      <c r="B5" s="125"/>
      <c r="C5" s="125"/>
      <c r="D5" s="125"/>
      <c r="E5" s="125"/>
      <c r="F5" s="125"/>
      <c r="G5" s="125"/>
      <c r="H5" s="125"/>
      <c r="I5" s="187"/>
    </row>
    <row r="6" spans="1:15" s="133" customFormat="1" ht="12.75" customHeight="1" x14ac:dyDescent="0.2">
      <c r="A6" s="480" t="s">
        <v>347</v>
      </c>
      <c r="B6" s="480"/>
      <c r="C6" s="480"/>
      <c r="D6" s="480"/>
      <c r="E6" s="480"/>
      <c r="F6" s="480"/>
      <c r="G6" s="480"/>
      <c r="H6" s="480"/>
      <c r="I6" s="480"/>
    </row>
    <row r="7" spans="1:15" s="133" customFormat="1" ht="12.75" customHeight="1" x14ac:dyDescent="0.2">
      <c r="A7" s="134"/>
      <c r="B7" s="134"/>
      <c r="C7" s="134"/>
      <c r="D7" s="134"/>
      <c r="E7" s="134"/>
      <c r="F7" s="134"/>
      <c r="G7" s="134"/>
      <c r="H7" s="134"/>
      <c r="I7" s="145"/>
    </row>
    <row r="8" spans="1:15" s="133" customFormat="1" ht="12.75" customHeight="1" x14ac:dyDescent="0.2">
      <c r="A8" s="492" t="s">
        <v>461</v>
      </c>
      <c r="B8" s="492"/>
      <c r="C8" s="492"/>
      <c r="D8" s="492"/>
      <c r="E8" s="492"/>
      <c r="F8" s="492"/>
      <c r="G8" s="492"/>
      <c r="H8" s="492"/>
      <c r="I8" s="492"/>
    </row>
    <row r="9" spans="1:15" s="12" customFormat="1" x14ac:dyDescent="0.2">
      <c r="A9" s="1"/>
      <c r="B9" s="1"/>
      <c r="C9" s="1"/>
      <c r="D9" s="1"/>
      <c r="E9" s="1"/>
      <c r="F9" s="1"/>
      <c r="G9" s="1"/>
      <c r="H9" s="1"/>
      <c r="I9" s="188"/>
      <c r="J9" s="30"/>
      <c r="K9" s="30"/>
      <c r="L9" s="30"/>
      <c r="M9" s="30"/>
      <c r="O9" s="30"/>
    </row>
    <row r="10" spans="1:15" s="12" customFormat="1" x14ac:dyDescent="0.2">
      <c r="A10" s="473" t="s">
        <v>0</v>
      </c>
      <c r="B10" s="473"/>
      <c r="C10" s="473"/>
      <c r="D10" s="473"/>
      <c r="E10" s="473"/>
      <c r="F10" s="473"/>
      <c r="G10" s="473"/>
      <c r="H10" s="473"/>
      <c r="I10" s="473"/>
      <c r="J10" s="30"/>
      <c r="K10" s="30"/>
      <c r="L10" s="30"/>
      <c r="M10" s="30"/>
      <c r="O10" s="30"/>
    </row>
    <row r="11" spans="1:15" s="12" customFormat="1" x14ac:dyDescent="0.2">
      <c r="A11" s="124" t="s">
        <v>1</v>
      </c>
      <c r="B11" s="428" t="s">
        <v>315</v>
      </c>
      <c r="C11" s="428"/>
      <c r="D11" s="428"/>
      <c r="E11" s="428"/>
      <c r="F11" s="428"/>
      <c r="G11" s="428"/>
      <c r="H11" s="478" t="s">
        <v>463</v>
      </c>
      <c r="I11" s="478"/>
      <c r="J11" s="30"/>
      <c r="K11" s="30"/>
      <c r="L11" s="30"/>
      <c r="M11" s="30"/>
      <c r="O11" s="30"/>
    </row>
    <row r="12" spans="1:15" s="12" customFormat="1" x14ac:dyDescent="0.2">
      <c r="A12" s="124" t="s">
        <v>2</v>
      </c>
      <c r="B12" s="428" t="s">
        <v>3</v>
      </c>
      <c r="C12" s="428"/>
      <c r="D12" s="428"/>
      <c r="E12" s="428"/>
      <c r="F12" s="428"/>
      <c r="G12" s="428"/>
      <c r="H12" s="471" t="s">
        <v>118</v>
      </c>
      <c r="I12" s="471"/>
      <c r="J12" s="30"/>
      <c r="K12" s="30"/>
      <c r="L12" s="30"/>
      <c r="M12" s="30"/>
      <c r="O12" s="30"/>
    </row>
    <row r="13" spans="1:15" s="12" customFormat="1" x14ac:dyDescent="0.2">
      <c r="A13" s="124" t="s">
        <v>4</v>
      </c>
      <c r="B13" s="428" t="s">
        <v>5</v>
      </c>
      <c r="C13" s="428"/>
      <c r="D13" s="428"/>
      <c r="E13" s="428"/>
      <c r="F13" s="428"/>
      <c r="G13" s="428"/>
      <c r="H13" s="524" t="s">
        <v>482</v>
      </c>
      <c r="I13" s="524"/>
      <c r="J13" s="30"/>
      <c r="K13" s="30"/>
      <c r="L13" s="30"/>
      <c r="M13" s="30"/>
      <c r="O13" s="30"/>
    </row>
    <row r="14" spans="1:15" s="12" customFormat="1" x14ac:dyDescent="0.2">
      <c r="A14" s="124" t="s">
        <v>6</v>
      </c>
      <c r="B14" s="428" t="s">
        <v>7</v>
      </c>
      <c r="C14" s="428"/>
      <c r="D14" s="428"/>
      <c r="E14" s="428"/>
      <c r="F14" s="428"/>
      <c r="G14" s="428"/>
      <c r="H14" s="471">
        <v>12</v>
      </c>
      <c r="I14" s="471"/>
      <c r="J14" s="30"/>
      <c r="K14" s="30"/>
      <c r="L14" s="30"/>
      <c r="M14" s="30"/>
      <c r="O14" s="30"/>
    </row>
    <row r="15" spans="1:15" s="12" customFormat="1" x14ac:dyDescent="0.2">
      <c r="A15" s="125"/>
      <c r="B15" s="130"/>
      <c r="C15" s="130"/>
      <c r="D15" s="130"/>
      <c r="E15" s="130"/>
      <c r="F15" s="130"/>
      <c r="G15" s="130"/>
      <c r="H15" s="125"/>
      <c r="I15" s="187"/>
      <c r="J15" s="30"/>
      <c r="K15" s="30"/>
      <c r="L15" s="30"/>
      <c r="M15" s="30"/>
      <c r="O15" s="30"/>
    </row>
    <row r="16" spans="1:15" s="12" customFormat="1" x14ac:dyDescent="0.2">
      <c r="A16" s="473" t="s">
        <v>8</v>
      </c>
      <c r="B16" s="473"/>
      <c r="C16" s="473"/>
      <c r="D16" s="473"/>
      <c r="E16" s="473"/>
      <c r="F16" s="473"/>
      <c r="G16" s="473"/>
      <c r="H16" s="473"/>
      <c r="I16" s="473"/>
      <c r="J16" s="30"/>
      <c r="K16" s="30"/>
      <c r="L16" s="30"/>
      <c r="M16" s="30"/>
      <c r="O16" s="30"/>
    </row>
    <row r="17" spans="1:15" s="12" customFormat="1" x14ac:dyDescent="0.2">
      <c r="A17" s="471" t="s">
        <v>9</v>
      </c>
      <c r="B17" s="471"/>
      <c r="C17" s="471" t="s">
        <v>10</v>
      </c>
      <c r="D17" s="471"/>
      <c r="E17" s="471" t="s">
        <v>11</v>
      </c>
      <c r="F17" s="471"/>
      <c r="G17" s="471"/>
      <c r="H17" s="471"/>
      <c r="I17" s="471"/>
      <c r="J17" s="30"/>
      <c r="K17" s="30"/>
      <c r="L17" s="30"/>
      <c r="M17" s="30"/>
      <c r="O17" s="30"/>
    </row>
    <row r="18" spans="1:15" s="12" customFormat="1" ht="42" customHeight="1" x14ac:dyDescent="0.2">
      <c r="A18" s="496" t="s">
        <v>370</v>
      </c>
      <c r="B18" s="468"/>
      <c r="C18" s="476" t="s">
        <v>371</v>
      </c>
      <c r="D18" s="476"/>
      <c r="E18" s="476">
        <v>4</v>
      </c>
      <c r="F18" s="476"/>
      <c r="G18" s="476"/>
      <c r="H18" s="476"/>
      <c r="I18" s="476"/>
      <c r="J18" s="30"/>
      <c r="K18" s="30"/>
      <c r="L18" s="30"/>
      <c r="M18" s="30"/>
      <c r="O18" s="30"/>
    </row>
    <row r="19" spans="1:15" s="12" customFormat="1" x14ac:dyDescent="0.2">
      <c r="A19" s="125"/>
      <c r="B19" s="130"/>
      <c r="C19" s="130"/>
      <c r="D19" s="130"/>
      <c r="E19" s="130"/>
      <c r="F19" s="130"/>
      <c r="G19" s="130"/>
      <c r="H19" s="125"/>
      <c r="I19" s="187"/>
      <c r="J19" s="30"/>
      <c r="K19" s="30"/>
      <c r="L19" s="30"/>
      <c r="M19" s="30"/>
      <c r="O19" s="30"/>
    </row>
    <row r="20" spans="1:15" s="12" customFormat="1" x14ac:dyDescent="0.2">
      <c r="A20" s="473" t="s">
        <v>330</v>
      </c>
      <c r="B20" s="473"/>
      <c r="C20" s="473"/>
      <c r="D20" s="473"/>
      <c r="E20" s="473"/>
      <c r="F20" s="473"/>
      <c r="G20" s="473"/>
      <c r="H20" s="473"/>
      <c r="I20" s="473"/>
      <c r="J20" s="30"/>
      <c r="K20" s="30"/>
      <c r="L20" s="30"/>
      <c r="M20" s="30"/>
      <c r="O20" s="30"/>
    </row>
    <row r="21" spans="1:15" s="12" customFormat="1" ht="24.75" customHeight="1" x14ac:dyDescent="0.2">
      <c r="A21" s="124">
        <v>1</v>
      </c>
      <c r="B21" s="428" t="s">
        <v>12</v>
      </c>
      <c r="C21" s="428"/>
      <c r="D21" s="428"/>
      <c r="E21" s="428"/>
      <c r="F21" s="428"/>
      <c r="G21" s="428"/>
      <c r="H21" s="468" t="str">
        <f>A18</f>
        <v>VIGILANTE MOTORIZADO NOTURNO</v>
      </c>
      <c r="I21" s="468"/>
      <c r="J21" s="30"/>
      <c r="K21" s="30"/>
      <c r="L21" s="30"/>
      <c r="M21" s="30"/>
      <c r="O21" s="30"/>
    </row>
    <row r="22" spans="1:15" s="12" customFormat="1" x14ac:dyDescent="0.2">
      <c r="A22" s="124">
        <v>2</v>
      </c>
      <c r="B22" s="428" t="s">
        <v>13</v>
      </c>
      <c r="C22" s="428"/>
      <c r="D22" s="428"/>
      <c r="E22" s="428"/>
      <c r="F22" s="428"/>
      <c r="G22" s="428"/>
      <c r="H22" s="471"/>
      <c r="I22" s="471"/>
      <c r="J22" s="30"/>
      <c r="K22" s="30"/>
      <c r="L22" s="30"/>
      <c r="M22" s="30"/>
      <c r="O22" s="30"/>
    </row>
    <row r="23" spans="1:15" s="12" customFormat="1" x14ac:dyDescent="0.2">
      <c r="A23" s="124">
        <v>3</v>
      </c>
      <c r="B23" s="428" t="s">
        <v>326</v>
      </c>
      <c r="C23" s="428"/>
      <c r="D23" s="428"/>
      <c r="E23" s="428"/>
      <c r="F23" s="428"/>
      <c r="G23" s="428"/>
      <c r="H23" s="485">
        <v>2411.9</v>
      </c>
      <c r="I23" s="485"/>
      <c r="J23" s="30"/>
      <c r="K23" s="132"/>
      <c r="L23" s="30"/>
      <c r="M23" s="30"/>
      <c r="O23" s="30"/>
    </row>
    <row r="24" spans="1:15" s="12" customFormat="1" ht="27" customHeight="1" x14ac:dyDescent="0.2">
      <c r="A24" s="124">
        <v>4</v>
      </c>
      <c r="B24" s="428" t="s">
        <v>14</v>
      </c>
      <c r="C24" s="428"/>
      <c r="D24" s="428"/>
      <c r="E24" s="428"/>
      <c r="F24" s="428"/>
      <c r="G24" s="428"/>
      <c r="H24" s="468" t="str">
        <f>H21</f>
        <v>VIGILANTE MOTORIZADO NOTURNO</v>
      </c>
      <c r="I24" s="468"/>
      <c r="J24" s="30"/>
      <c r="K24" s="30"/>
      <c r="L24" s="30"/>
      <c r="M24" s="30"/>
      <c r="O24" s="30"/>
    </row>
    <row r="25" spans="1:15" s="12" customFormat="1" x14ac:dyDescent="0.2">
      <c r="A25" s="124">
        <v>5</v>
      </c>
      <c r="B25" s="428" t="s">
        <v>15</v>
      </c>
      <c r="C25" s="428"/>
      <c r="D25" s="428"/>
      <c r="E25" s="428"/>
      <c r="F25" s="428"/>
      <c r="G25" s="428"/>
      <c r="H25" s="469">
        <v>43466</v>
      </c>
      <c r="I25" s="469"/>
      <c r="J25" s="30"/>
      <c r="K25" s="30"/>
      <c r="L25" s="30"/>
      <c r="M25" s="30"/>
      <c r="O25" s="30"/>
    </row>
    <row r="26" spans="1:15" s="12" customFormat="1" x14ac:dyDescent="0.2">
      <c r="A26" s="470"/>
      <c r="B26" s="470"/>
      <c r="C26" s="470"/>
      <c r="D26" s="470"/>
      <c r="E26" s="470"/>
      <c r="F26" s="470"/>
      <c r="G26" s="470"/>
      <c r="H26" s="470"/>
      <c r="I26" s="470"/>
      <c r="J26" s="30"/>
      <c r="K26" s="30"/>
      <c r="L26" s="30"/>
      <c r="M26" s="30"/>
      <c r="O26" s="30"/>
    </row>
    <row r="27" spans="1:15" s="12" customFormat="1" x14ac:dyDescent="0.2">
      <c r="A27" s="431" t="s">
        <v>16</v>
      </c>
      <c r="B27" s="431"/>
      <c r="C27" s="431"/>
      <c r="D27" s="431"/>
      <c r="E27" s="431"/>
      <c r="F27" s="431"/>
      <c r="G27" s="431"/>
      <c r="H27" s="431"/>
      <c r="I27" s="431"/>
      <c r="J27" s="30"/>
      <c r="K27" s="30"/>
      <c r="L27" s="30"/>
      <c r="M27" s="30"/>
      <c r="O27" s="30"/>
    </row>
    <row r="28" spans="1:15" s="12" customFormat="1" x14ac:dyDescent="0.2">
      <c r="A28" s="126">
        <v>1</v>
      </c>
      <c r="B28" s="427" t="s">
        <v>17</v>
      </c>
      <c r="C28" s="427"/>
      <c r="D28" s="427"/>
      <c r="E28" s="427"/>
      <c r="F28" s="427"/>
      <c r="G28" s="427"/>
      <c r="H28" s="126" t="s">
        <v>18</v>
      </c>
      <c r="I28" s="189" t="s">
        <v>19</v>
      </c>
      <c r="J28" s="30"/>
      <c r="K28" s="30"/>
      <c r="L28" s="30"/>
      <c r="M28" s="30"/>
      <c r="O28" s="30"/>
    </row>
    <row r="29" spans="1:15" s="12" customFormat="1" x14ac:dyDescent="0.2">
      <c r="A29" s="126" t="s">
        <v>1</v>
      </c>
      <c r="B29" s="428" t="s">
        <v>20</v>
      </c>
      <c r="C29" s="428"/>
      <c r="D29" s="428"/>
      <c r="E29" s="428"/>
      <c r="F29" s="428"/>
      <c r="G29" s="428"/>
      <c r="H29" s="128"/>
      <c r="I29" s="190">
        <f>H23</f>
        <v>2411.9</v>
      </c>
      <c r="J29" s="30"/>
      <c r="K29" s="30"/>
      <c r="L29" s="30"/>
      <c r="M29" s="30"/>
      <c r="O29" s="30"/>
    </row>
    <row r="30" spans="1:15" s="12" customFormat="1" x14ac:dyDescent="0.2">
      <c r="A30" s="366" t="s">
        <v>2</v>
      </c>
      <c r="B30" s="525" t="s">
        <v>403</v>
      </c>
      <c r="C30" s="526"/>
      <c r="D30" s="526"/>
      <c r="E30" s="526"/>
      <c r="F30" s="526"/>
      <c r="G30" s="527"/>
      <c r="H30" s="356"/>
      <c r="I30" s="284"/>
      <c r="J30" s="30"/>
      <c r="K30" s="30"/>
      <c r="L30" s="30"/>
      <c r="M30" s="30"/>
      <c r="O30" s="30"/>
    </row>
    <row r="31" spans="1:15" s="12" customFormat="1" x14ac:dyDescent="0.2">
      <c r="A31" s="189" t="s">
        <v>469</v>
      </c>
      <c r="B31" s="502" t="s">
        <v>471</v>
      </c>
      <c r="C31" s="503"/>
      <c r="D31" s="503"/>
      <c r="E31" s="503"/>
      <c r="F31" s="503"/>
      <c r="G31" s="504"/>
      <c r="H31" s="153">
        <v>0.3</v>
      </c>
      <c r="I31" s="152"/>
      <c r="J31" s="30"/>
      <c r="K31" s="30"/>
      <c r="L31" s="30"/>
      <c r="M31" s="30"/>
      <c r="O31" s="30"/>
    </row>
    <row r="32" spans="1:15" s="12" customFormat="1" x14ac:dyDescent="0.2">
      <c r="A32" s="189" t="s">
        <v>470</v>
      </c>
      <c r="B32" s="502" t="s">
        <v>472</v>
      </c>
      <c r="C32" s="503"/>
      <c r="D32" s="503"/>
      <c r="E32" s="503"/>
      <c r="F32" s="503"/>
      <c r="G32" s="504"/>
      <c r="H32" s="153">
        <v>0.1</v>
      </c>
      <c r="I32" s="152"/>
      <c r="J32" s="30"/>
      <c r="K32" s="30"/>
      <c r="L32" s="30"/>
      <c r="M32" s="30"/>
      <c r="O32" s="30"/>
    </row>
    <row r="33" spans="1:15" s="12" customFormat="1" x14ac:dyDescent="0.2">
      <c r="A33" s="189"/>
      <c r="B33" s="505" t="s">
        <v>473</v>
      </c>
      <c r="C33" s="506"/>
      <c r="D33" s="506"/>
      <c r="E33" s="506"/>
      <c r="F33" s="506"/>
      <c r="G33" s="507"/>
      <c r="H33" s="409">
        <f>SUM(H31:H32)</f>
        <v>0.4</v>
      </c>
      <c r="I33" s="152">
        <f>I29*H33</f>
        <v>964.7600000000001</v>
      </c>
      <c r="J33" s="30"/>
      <c r="K33" s="30"/>
      <c r="L33" s="30"/>
      <c r="M33" s="30"/>
      <c r="O33" s="30"/>
    </row>
    <row r="34" spans="1:15" s="12" customFormat="1" x14ac:dyDescent="0.2">
      <c r="A34" s="366" t="s">
        <v>6</v>
      </c>
      <c r="B34" s="525" t="s">
        <v>22</v>
      </c>
      <c r="C34" s="526"/>
      <c r="D34" s="526"/>
      <c r="E34" s="526"/>
      <c r="F34" s="526"/>
      <c r="G34" s="527"/>
      <c r="H34" s="356">
        <v>0.2</v>
      </c>
      <c r="I34" s="287">
        <f>(I29+I30)/220*8*15*H34</f>
        <v>263.11636363636364</v>
      </c>
      <c r="J34" s="30"/>
      <c r="K34" s="30"/>
      <c r="L34" s="30"/>
      <c r="M34" s="30"/>
      <c r="O34" s="30"/>
    </row>
    <row r="35" spans="1:15" s="12" customFormat="1" x14ac:dyDescent="0.2">
      <c r="A35" s="366" t="s">
        <v>23</v>
      </c>
      <c r="B35" s="452" t="s">
        <v>24</v>
      </c>
      <c r="C35" s="453"/>
      <c r="D35" s="453"/>
      <c r="E35" s="453"/>
      <c r="F35" s="453"/>
      <c r="G35" s="454"/>
      <c r="H35" s="2"/>
      <c r="I35" s="190">
        <v>0</v>
      </c>
      <c r="J35" s="3"/>
      <c r="K35" s="30"/>
      <c r="L35" s="30"/>
      <c r="M35" s="30"/>
      <c r="O35" s="30"/>
    </row>
    <row r="36" spans="1:15" s="12" customFormat="1" x14ac:dyDescent="0.2">
      <c r="A36" s="366" t="s">
        <v>25</v>
      </c>
      <c r="B36" s="452" t="s">
        <v>26</v>
      </c>
      <c r="C36" s="453"/>
      <c r="D36" s="453"/>
      <c r="E36" s="453"/>
      <c r="F36" s="453"/>
      <c r="G36" s="454"/>
      <c r="H36" s="2"/>
      <c r="I36" s="190">
        <v>0</v>
      </c>
      <c r="J36" s="3"/>
      <c r="K36" s="30"/>
      <c r="L36" s="30"/>
      <c r="M36" s="30"/>
      <c r="O36" s="30"/>
    </row>
    <row r="37" spans="1:15" s="12" customFormat="1" x14ac:dyDescent="0.2">
      <c r="A37" s="427" t="s">
        <v>27</v>
      </c>
      <c r="B37" s="427"/>
      <c r="C37" s="427"/>
      <c r="D37" s="427"/>
      <c r="E37" s="427"/>
      <c r="F37" s="427"/>
      <c r="G37" s="427"/>
      <c r="H37" s="427"/>
      <c r="I37" s="191">
        <f>TRUNC(SUM(I29:I36),2)</f>
        <v>3639.77</v>
      </c>
      <c r="J37" s="3"/>
      <c r="K37" s="30"/>
      <c r="L37" s="30"/>
      <c r="M37" s="30"/>
      <c r="O37" s="30"/>
    </row>
    <row r="38" spans="1:15" s="12" customFormat="1" x14ac:dyDescent="0.2">
      <c r="A38" s="463"/>
      <c r="B38" s="463"/>
      <c r="C38" s="463"/>
      <c r="D38" s="463"/>
      <c r="E38" s="463"/>
      <c r="F38" s="463"/>
      <c r="G38" s="463"/>
      <c r="H38" s="463"/>
      <c r="I38" s="463"/>
      <c r="J38" s="3"/>
      <c r="K38" s="30"/>
      <c r="L38" s="30"/>
      <c r="M38" s="30"/>
      <c r="O38" s="30"/>
    </row>
    <row r="39" spans="1:15" s="12" customFormat="1" x14ac:dyDescent="0.2">
      <c r="A39" s="431" t="s">
        <v>28</v>
      </c>
      <c r="B39" s="431"/>
      <c r="C39" s="431"/>
      <c r="D39" s="431"/>
      <c r="E39" s="431"/>
      <c r="F39" s="431"/>
      <c r="G39" s="431"/>
      <c r="H39" s="431"/>
      <c r="I39" s="431"/>
      <c r="J39" s="3"/>
      <c r="K39" s="30"/>
      <c r="L39" s="30"/>
      <c r="M39" s="30"/>
      <c r="O39" s="30"/>
    </row>
    <row r="40" spans="1:15" s="12" customFormat="1" x14ac:dyDescent="0.2">
      <c r="A40" s="427" t="s">
        <v>29</v>
      </c>
      <c r="B40" s="427"/>
      <c r="C40" s="427"/>
      <c r="D40" s="427"/>
      <c r="E40" s="427"/>
      <c r="F40" s="427"/>
      <c r="G40" s="427"/>
      <c r="H40" s="126" t="s">
        <v>18</v>
      </c>
      <c r="I40" s="189" t="s">
        <v>19</v>
      </c>
      <c r="J40" s="3"/>
      <c r="K40" s="30"/>
      <c r="L40" s="30"/>
      <c r="M40" s="30"/>
      <c r="O40" s="30"/>
    </row>
    <row r="41" spans="1:15" s="12" customFormat="1" x14ac:dyDescent="0.2">
      <c r="A41" s="126" t="s">
        <v>1</v>
      </c>
      <c r="B41" s="428" t="s">
        <v>30</v>
      </c>
      <c r="C41" s="428"/>
      <c r="D41" s="428"/>
      <c r="E41" s="428"/>
      <c r="F41" s="428"/>
      <c r="G41" s="428"/>
      <c r="H41" s="4">
        <f>1/12</f>
        <v>8.3333333333333329E-2</v>
      </c>
      <c r="I41" s="192">
        <f>$I$37*H41</f>
        <v>303.31416666666667</v>
      </c>
      <c r="J41" s="3"/>
      <c r="K41" s="30"/>
      <c r="L41" s="30"/>
      <c r="M41" s="30"/>
      <c r="O41" s="30"/>
    </row>
    <row r="42" spans="1:15" s="12" customFormat="1" ht="30" hidden="1" customHeight="1" x14ac:dyDescent="0.2">
      <c r="A42" s="126" t="s">
        <v>2</v>
      </c>
      <c r="B42" s="428" t="s">
        <v>31</v>
      </c>
      <c r="C42" s="428"/>
      <c r="D42" s="428"/>
      <c r="E42" s="428"/>
      <c r="F42" s="428"/>
      <c r="G42" s="428"/>
      <c r="H42" s="4">
        <v>0.121</v>
      </c>
      <c r="I42" s="192">
        <f>H42*I37</f>
        <v>440.41217</v>
      </c>
      <c r="J42" s="3"/>
      <c r="K42" s="30"/>
      <c r="L42" s="30"/>
      <c r="M42" s="30"/>
      <c r="O42" s="30"/>
    </row>
    <row r="43" spans="1:15" s="12" customFormat="1" ht="30" hidden="1" customHeight="1" x14ac:dyDescent="0.2">
      <c r="A43" s="511" t="s">
        <v>436</v>
      </c>
      <c r="B43" s="512"/>
      <c r="C43" s="512"/>
      <c r="D43" s="512"/>
      <c r="E43" s="512"/>
      <c r="F43" s="512"/>
      <c r="G43" s="513"/>
      <c r="H43" s="41">
        <f>SUM(H41:H42)</f>
        <v>0.20433333333333331</v>
      </c>
      <c r="I43" s="193">
        <f>SUM(I41:I42)</f>
        <v>743.72633666666661</v>
      </c>
      <c r="J43" s="3"/>
      <c r="K43" s="30"/>
      <c r="L43" s="30"/>
      <c r="M43" s="30"/>
      <c r="O43" s="30"/>
    </row>
    <row r="44" spans="1:15" s="12" customFormat="1" ht="39.950000000000003" hidden="1" customHeight="1" x14ac:dyDescent="0.2">
      <c r="A44" s="298" t="s">
        <v>4</v>
      </c>
      <c r="B44" s="464" t="s">
        <v>394</v>
      </c>
      <c r="C44" s="465"/>
      <c r="D44" s="465"/>
      <c r="E44" s="465"/>
      <c r="F44" s="465"/>
      <c r="G44" s="466"/>
      <c r="H44" s="305">
        <f>(H43)*H61</f>
        <v>8.1324666666666656E-2</v>
      </c>
      <c r="I44" s="306">
        <f>ROUND(((I43)*H61),2)</f>
        <v>296</v>
      </c>
      <c r="J44" s="3"/>
      <c r="K44" s="30"/>
      <c r="L44" s="30"/>
      <c r="M44" s="30"/>
      <c r="O44" s="30"/>
    </row>
    <row r="45" spans="1:15" s="12" customFormat="1" ht="39.950000000000003" hidden="1" customHeight="1" x14ac:dyDescent="0.2">
      <c r="A45" s="529" t="s">
        <v>437</v>
      </c>
      <c r="B45" s="530"/>
      <c r="C45" s="530"/>
      <c r="D45" s="530"/>
      <c r="E45" s="530"/>
      <c r="F45" s="530"/>
      <c r="G45" s="531"/>
      <c r="H45" s="41">
        <f>SUM(H43:H44)</f>
        <v>0.28565799999999997</v>
      </c>
      <c r="I45" s="158">
        <f>I43+I44</f>
        <v>1039.7263366666666</v>
      </c>
      <c r="J45" s="3"/>
      <c r="K45" s="30"/>
      <c r="L45" s="30"/>
      <c r="M45" s="30"/>
      <c r="O45" s="30"/>
    </row>
    <row r="46" spans="1:15" s="12" customFormat="1" x14ac:dyDescent="0.2">
      <c r="A46" s="448" t="s">
        <v>33</v>
      </c>
      <c r="B46" s="448"/>
      <c r="C46" s="448"/>
      <c r="D46" s="448"/>
      <c r="E46" s="448"/>
      <c r="F46" s="448"/>
      <c r="G46" s="448"/>
      <c r="H46" s="448"/>
      <c r="I46" s="448"/>
      <c r="J46" s="6"/>
      <c r="K46" s="7"/>
      <c r="L46" s="30"/>
      <c r="M46" s="30"/>
      <c r="O46" s="30"/>
    </row>
    <row r="47" spans="1:15" s="12" customFormat="1" x14ac:dyDescent="0.2">
      <c r="A47" s="449" t="s">
        <v>34</v>
      </c>
      <c r="B47" s="449"/>
      <c r="C47" s="449"/>
      <c r="D47" s="449"/>
      <c r="E47" s="449"/>
      <c r="F47" s="449"/>
      <c r="G47" s="449"/>
      <c r="H47" s="449"/>
      <c r="I47" s="449"/>
      <c r="J47" s="3"/>
      <c r="K47" s="30"/>
      <c r="L47" s="30"/>
      <c r="M47" s="30"/>
      <c r="O47" s="30"/>
    </row>
    <row r="48" spans="1:15" s="12" customFormat="1" x14ac:dyDescent="0.2">
      <c r="A48" s="449" t="s">
        <v>35</v>
      </c>
      <c r="B48" s="449"/>
      <c r="C48" s="449"/>
      <c r="D48" s="449"/>
      <c r="E48" s="449"/>
      <c r="F48" s="449"/>
      <c r="G48" s="449"/>
      <c r="H48" s="449"/>
      <c r="I48" s="449"/>
      <c r="J48" s="3"/>
      <c r="K48" s="30"/>
      <c r="L48" s="30"/>
      <c r="M48" s="30"/>
      <c r="O48" s="30"/>
    </row>
    <row r="49" spans="1:15" s="12" customFormat="1" x14ac:dyDescent="0.2">
      <c r="A49" s="449" t="s">
        <v>36</v>
      </c>
      <c r="B49" s="449"/>
      <c r="C49" s="449"/>
      <c r="D49" s="449"/>
      <c r="E49" s="449"/>
      <c r="F49" s="449"/>
      <c r="G49" s="449"/>
      <c r="H49" s="449"/>
      <c r="I49" s="449"/>
      <c r="J49" s="3"/>
      <c r="K49" s="30"/>
      <c r="L49" s="30"/>
      <c r="M49" s="30"/>
      <c r="O49" s="30"/>
    </row>
    <row r="50" spans="1:15" s="12" customFormat="1" x14ac:dyDescent="0.2">
      <c r="A50" s="457"/>
      <c r="B50" s="457"/>
      <c r="C50" s="457"/>
      <c r="D50" s="457"/>
      <c r="E50" s="457"/>
      <c r="F50" s="457"/>
      <c r="G50" s="457"/>
      <c r="H50" s="457"/>
      <c r="I50" s="457"/>
      <c r="J50" s="31">
        <f>H54*H55</f>
        <v>0.06</v>
      </c>
      <c r="K50" s="8"/>
      <c r="L50" s="30"/>
      <c r="M50" s="30"/>
      <c r="O50" s="30"/>
    </row>
    <row r="51" spans="1:15" s="12" customFormat="1" x14ac:dyDescent="0.2">
      <c r="A51" s="451" t="s">
        <v>37</v>
      </c>
      <c r="B51" s="451"/>
      <c r="C51" s="451"/>
      <c r="D51" s="451"/>
      <c r="E51" s="451"/>
      <c r="F51" s="451"/>
      <c r="G51" s="451"/>
      <c r="H51" s="127" t="s">
        <v>18</v>
      </c>
      <c r="I51" s="194" t="s">
        <v>19</v>
      </c>
      <c r="J51" s="3"/>
      <c r="K51" s="8"/>
      <c r="L51" s="30"/>
      <c r="M51" s="30"/>
      <c r="O51" s="30"/>
    </row>
    <row r="52" spans="1:15" s="12" customFormat="1" x14ac:dyDescent="0.2">
      <c r="A52" s="126" t="s">
        <v>1</v>
      </c>
      <c r="B52" s="428" t="s">
        <v>38</v>
      </c>
      <c r="C52" s="428"/>
      <c r="D52" s="428"/>
      <c r="E52" s="428"/>
      <c r="F52" s="428"/>
      <c r="G52" s="428"/>
      <c r="H52" s="4">
        <v>0.2</v>
      </c>
      <c r="I52" s="192">
        <f>($I$37+I45)*H52</f>
        <v>935.89926733333346</v>
      </c>
      <c r="J52" s="3"/>
      <c r="K52" s="30"/>
      <c r="L52" s="30"/>
      <c r="M52" s="30"/>
      <c r="O52" s="30"/>
    </row>
    <row r="53" spans="1:15" s="12" customFormat="1" x14ac:dyDescent="0.2">
      <c r="A53" s="126" t="s">
        <v>2</v>
      </c>
      <c r="B53" s="428" t="s">
        <v>39</v>
      </c>
      <c r="C53" s="428"/>
      <c r="D53" s="428"/>
      <c r="E53" s="428"/>
      <c r="F53" s="428"/>
      <c r="G53" s="428"/>
      <c r="H53" s="4">
        <v>2.5000000000000001E-2</v>
      </c>
      <c r="I53" s="192">
        <f>($I$37+I45)*H53</f>
        <v>116.98740841666668</v>
      </c>
      <c r="J53" s="3"/>
      <c r="K53" s="30"/>
      <c r="L53" s="30"/>
      <c r="M53" s="30"/>
      <c r="O53" s="30"/>
    </row>
    <row r="54" spans="1:15" s="12" customFormat="1" x14ac:dyDescent="0.2">
      <c r="A54" s="126" t="s">
        <v>4</v>
      </c>
      <c r="B54" s="486" t="s">
        <v>40</v>
      </c>
      <c r="C54" s="486"/>
      <c r="D54" s="486"/>
      <c r="E54" s="486"/>
      <c r="F54" s="486"/>
      <c r="G54" s="486"/>
      <c r="H54" s="4">
        <v>0.03</v>
      </c>
      <c r="I54" s="528">
        <f>($I$37+I45)*H54*H55</f>
        <v>280.76978020000001</v>
      </c>
      <c r="J54" s="3"/>
      <c r="K54" s="30"/>
      <c r="L54" s="30"/>
      <c r="M54" s="30"/>
      <c r="O54" s="30"/>
    </row>
    <row r="55" spans="1:15" s="12" customFormat="1" x14ac:dyDescent="0.2">
      <c r="A55" s="126"/>
      <c r="B55" s="486"/>
      <c r="C55" s="486"/>
      <c r="D55" s="486"/>
      <c r="E55" s="486"/>
      <c r="F55" s="486"/>
      <c r="G55" s="486"/>
      <c r="H55" s="10">
        <v>2</v>
      </c>
      <c r="I55" s="528"/>
      <c r="J55" s="3"/>
      <c r="K55" s="30"/>
      <c r="L55" s="30"/>
      <c r="M55" s="30"/>
      <c r="O55" s="30"/>
    </row>
    <row r="56" spans="1:15" s="12" customFormat="1" x14ac:dyDescent="0.2">
      <c r="A56" s="126" t="s">
        <v>6</v>
      </c>
      <c r="B56" s="428" t="s">
        <v>41</v>
      </c>
      <c r="C56" s="428"/>
      <c r="D56" s="428"/>
      <c r="E56" s="428"/>
      <c r="F56" s="428"/>
      <c r="G56" s="428"/>
      <c r="H56" s="4">
        <v>1.4999999999999999E-2</v>
      </c>
      <c r="I56" s="192">
        <f>($I$37+I45)*H56</f>
        <v>70.192445050000003</v>
      </c>
      <c r="J56" s="3"/>
      <c r="K56" s="30"/>
      <c r="L56" s="30"/>
      <c r="M56" s="30"/>
      <c r="O56" s="30"/>
    </row>
    <row r="57" spans="1:15" s="12" customFormat="1" x14ac:dyDescent="0.2">
      <c r="A57" s="126" t="s">
        <v>23</v>
      </c>
      <c r="B57" s="428" t="s">
        <v>42</v>
      </c>
      <c r="C57" s="428"/>
      <c r="D57" s="428"/>
      <c r="E57" s="428"/>
      <c r="F57" s="428"/>
      <c r="G57" s="428"/>
      <c r="H57" s="4">
        <v>0.01</v>
      </c>
      <c r="I57" s="192">
        <f>($I$37+I45)*H57</f>
        <v>46.794963366666671</v>
      </c>
      <c r="J57" s="3"/>
      <c r="K57" s="30"/>
      <c r="L57" s="30"/>
      <c r="M57" s="30"/>
      <c r="O57" s="30"/>
    </row>
    <row r="58" spans="1:15" s="12" customFormat="1" x14ac:dyDescent="0.2">
      <c r="A58" s="126" t="s">
        <v>25</v>
      </c>
      <c r="B58" s="428" t="s">
        <v>43</v>
      </c>
      <c r="C58" s="428"/>
      <c r="D58" s="428"/>
      <c r="E58" s="428"/>
      <c r="F58" s="428"/>
      <c r="G58" s="428"/>
      <c r="H58" s="4">
        <v>6.0000000000000001E-3</v>
      </c>
      <c r="I58" s="192">
        <f>($I$37+I45)*H58</f>
        <v>28.076978020000002</v>
      </c>
      <c r="J58" s="3"/>
      <c r="K58" s="30"/>
      <c r="L58" s="30"/>
      <c r="M58" s="30"/>
      <c r="O58" s="30"/>
    </row>
    <row r="59" spans="1:15" s="12" customFormat="1" x14ac:dyDescent="0.2">
      <c r="A59" s="126" t="s">
        <v>44</v>
      </c>
      <c r="B59" s="428" t="s">
        <v>45</v>
      </c>
      <c r="C59" s="428"/>
      <c r="D59" s="428"/>
      <c r="E59" s="428"/>
      <c r="F59" s="428"/>
      <c r="G59" s="428"/>
      <c r="H59" s="4">
        <v>2E-3</v>
      </c>
      <c r="I59" s="192">
        <f>($I$37+I45)*H59</f>
        <v>9.3589926733333346</v>
      </c>
      <c r="J59" s="3"/>
      <c r="K59" s="30"/>
      <c r="L59" s="30"/>
      <c r="M59" s="30"/>
      <c r="O59" s="30"/>
    </row>
    <row r="60" spans="1:15" s="12" customFormat="1" x14ac:dyDescent="0.2">
      <c r="A60" s="126" t="s">
        <v>46</v>
      </c>
      <c r="B60" s="428" t="s">
        <v>47</v>
      </c>
      <c r="C60" s="428"/>
      <c r="D60" s="428"/>
      <c r="E60" s="428"/>
      <c r="F60" s="428"/>
      <c r="G60" s="428"/>
      <c r="H60" s="4">
        <v>0.08</v>
      </c>
      <c r="I60" s="192">
        <f>($I$37+I45)*H60</f>
        <v>374.35970693333337</v>
      </c>
      <c r="J60" s="3"/>
      <c r="K60" s="30"/>
      <c r="L60" s="30"/>
      <c r="M60" s="30"/>
      <c r="O60" s="30"/>
    </row>
    <row r="61" spans="1:15" s="12" customFormat="1" x14ac:dyDescent="0.2">
      <c r="A61" s="427" t="s">
        <v>48</v>
      </c>
      <c r="B61" s="427"/>
      <c r="C61" s="427"/>
      <c r="D61" s="427"/>
      <c r="E61" s="427"/>
      <c r="F61" s="427"/>
      <c r="G61" s="427"/>
      <c r="H61" s="5">
        <f>SUM(H52:H53,H56:H60)+J50</f>
        <v>0.39800000000000002</v>
      </c>
      <c r="I61" s="191">
        <f>SUM(I52:I60)</f>
        <v>1862.4395419933339</v>
      </c>
      <c r="J61" s="3"/>
      <c r="K61" s="30"/>
      <c r="L61" s="30"/>
      <c r="M61" s="30"/>
      <c r="O61" s="30"/>
    </row>
    <row r="62" spans="1:15" s="12" customFormat="1" x14ac:dyDescent="0.2">
      <c r="A62" s="450"/>
      <c r="B62" s="450"/>
      <c r="C62" s="450"/>
      <c r="D62" s="450"/>
      <c r="E62" s="450"/>
      <c r="F62" s="450"/>
      <c r="G62" s="450"/>
      <c r="H62" s="450"/>
      <c r="I62" s="450"/>
      <c r="J62" s="3"/>
      <c r="K62" s="30"/>
      <c r="L62" s="30"/>
      <c r="M62" s="30"/>
      <c r="O62" s="30"/>
    </row>
    <row r="63" spans="1:15" s="12" customFormat="1" x14ac:dyDescent="0.2">
      <c r="A63" s="451" t="s">
        <v>49</v>
      </c>
      <c r="B63" s="451"/>
      <c r="C63" s="451"/>
      <c r="D63" s="451"/>
      <c r="E63" s="451"/>
      <c r="F63" s="451"/>
      <c r="G63" s="451"/>
      <c r="H63" s="9" t="s">
        <v>50</v>
      </c>
      <c r="I63" s="194" t="s">
        <v>19</v>
      </c>
      <c r="J63" s="3"/>
      <c r="K63" s="30"/>
      <c r="L63" s="30"/>
      <c r="M63" s="30"/>
      <c r="O63" s="30"/>
    </row>
    <row r="64" spans="1:15" s="12" customFormat="1" x14ac:dyDescent="0.2">
      <c r="A64" s="126" t="s">
        <v>1</v>
      </c>
      <c r="B64" s="435" t="s">
        <v>51</v>
      </c>
      <c r="C64" s="435"/>
      <c r="D64" s="435"/>
      <c r="E64" s="435"/>
      <c r="F64" s="435"/>
      <c r="G64" s="435"/>
      <c r="H64" s="10">
        <v>5.5</v>
      </c>
      <c r="I64" s="190">
        <f>' V.A_VT'!G19</f>
        <v>20.286000000000001</v>
      </c>
      <c r="J64" s="3"/>
      <c r="K64" s="30"/>
      <c r="L64" s="30"/>
      <c r="M64" s="30"/>
      <c r="O64" s="30"/>
    </row>
    <row r="65" spans="1:18" s="12" customFormat="1" x14ac:dyDescent="0.2">
      <c r="A65" s="126" t="s">
        <v>2</v>
      </c>
      <c r="B65" s="435" t="s">
        <v>52</v>
      </c>
      <c r="C65" s="435"/>
      <c r="D65" s="435"/>
      <c r="E65" s="435"/>
      <c r="F65" s="435"/>
      <c r="G65" s="435"/>
      <c r="H65" s="10">
        <v>35.770000000000003</v>
      </c>
      <c r="I65" s="190">
        <f>' V.A_VT'!G29</f>
        <v>551.25</v>
      </c>
      <c r="J65" s="3"/>
      <c r="K65" s="30"/>
      <c r="L65" s="30"/>
      <c r="M65" s="30"/>
      <c r="O65" s="30"/>
    </row>
    <row r="66" spans="1:18" s="12" customFormat="1" x14ac:dyDescent="0.2">
      <c r="A66" s="126" t="s">
        <v>4</v>
      </c>
      <c r="B66" s="452" t="s">
        <v>314</v>
      </c>
      <c r="C66" s="453"/>
      <c r="D66" s="453"/>
      <c r="E66" s="453"/>
      <c r="F66" s="453"/>
      <c r="G66" s="454"/>
      <c r="H66" s="10"/>
      <c r="I66" s="284"/>
      <c r="J66" s="3"/>
      <c r="K66" s="30"/>
      <c r="L66" s="30"/>
      <c r="M66" s="30"/>
      <c r="O66" s="30"/>
    </row>
    <row r="67" spans="1:18" s="12" customFormat="1" ht="30" hidden="1" customHeight="1" x14ac:dyDescent="0.2">
      <c r="A67" s="126" t="s">
        <v>6</v>
      </c>
      <c r="B67" s="435" t="s">
        <v>211</v>
      </c>
      <c r="C67" s="435"/>
      <c r="D67" s="435"/>
      <c r="E67" s="435"/>
      <c r="F67" s="435"/>
      <c r="G67" s="435"/>
      <c r="H67" s="10"/>
      <c r="I67" s="284"/>
      <c r="J67" s="3"/>
      <c r="K67" s="30"/>
      <c r="L67" s="30"/>
      <c r="M67" s="30"/>
      <c r="O67" s="30"/>
    </row>
    <row r="68" spans="1:18" s="12" customFormat="1" ht="30" hidden="1" customHeight="1" x14ac:dyDescent="0.2">
      <c r="A68" s="126" t="s">
        <v>23</v>
      </c>
      <c r="B68" s="428" t="s">
        <v>311</v>
      </c>
      <c r="C68" s="428"/>
      <c r="D68" s="428"/>
      <c r="E68" s="428"/>
      <c r="F68" s="428"/>
      <c r="G68" s="428"/>
      <c r="H68" s="10"/>
      <c r="I68" s="190"/>
      <c r="J68" s="443" t="s">
        <v>128</v>
      </c>
      <c r="K68" s="444"/>
      <c r="L68" s="444"/>
      <c r="M68" s="444"/>
      <c r="N68" s="444"/>
      <c r="O68" s="444"/>
      <c r="P68" s="444"/>
      <c r="Q68" s="444"/>
      <c r="R68" s="444"/>
    </row>
    <row r="69" spans="1:18" s="12" customFormat="1" ht="30" hidden="1" customHeight="1" x14ac:dyDescent="0.2">
      <c r="A69" s="126" t="s">
        <v>25</v>
      </c>
      <c r="B69" s="435" t="s">
        <v>26</v>
      </c>
      <c r="C69" s="435"/>
      <c r="D69" s="435"/>
      <c r="E69" s="435"/>
      <c r="F69" s="435"/>
      <c r="G69" s="435"/>
      <c r="H69" s="10"/>
      <c r="I69" s="190"/>
      <c r="J69" s="3"/>
      <c r="K69" s="30"/>
      <c r="L69" s="30"/>
      <c r="M69" s="30"/>
      <c r="O69" s="30"/>
    </row>
    <row r="70" spans="1:18" s="12" customFormat="1" ht="18.75" hidden="1" customHeight="1" x14ac:dyDescent="0.2">
      <c r="A70" s="427" t="s">
        <v>54</v>
      </c>
      <c r="B70" s="427"/>
      <c r="C70" s="427"/>
      <c r="D70" s="427"/>
      <c r="E70" s="427"/>
      <c r="F70" s="427"/>
      <c r="G70" s="427"/>
      <c r="H70" s="427"/>
      <c r="I70" s="193">
        <f>SUM(I64:I69)</f>
        <v>571.53600000000006</v>
      </c>
      <c r="J70" s="3"/>
      <c r="K70" s="30"/>
      <c r="L70" s="30"/>
      <c r="M70" s="30"/>
      <c r="O70" s="30"/>
    </row>
    <row r="71" spans="1:18" s="12" customFormat="1" ht="3.75" hidden="1" customHeight="1" x14ac:dyDescent="0.2">
      <c r="A71" s="448" t="s">
        <v>55</v>
      </c>
      <c r="B71" s="448"/>
      <c r="C71" s="448"/>
      <c r="D71" s="448"/>
      <c r="E71" s="448"/>
      <c r="F71" s="448"/>
      <c r="G71" s="448"/>
      <c r="H71" s="448"/>
      <c r="I71" s="448"/>
      <c r="J71" s="3"/>
      <c r="K71" s="30"/>
      <c r="L71" s="30"/>
      <c r="M71" s="30"/>
      <c r="O71" s="30"/>
    </row>
    <row r="72" spans="1:18" s="12" customFormat="1" hidden="1" x14ac:dyDescent="0.2">
      <c r="A72" s="449" t="s">
        <v>56</v>
      </c>
      <c r="B72" s="449"/>
      <c r="C72" s="449"/>
      <c r="D72" s="449"/>
      <c r="E72" s="449"/>
      <c r="F72" s="449"/>
      <c r="G72" s="449"/>
      <c r="H72" s="449"/>
      <c r="I72" s="449"/>
      <c r="J72" s="3"/>
      <c r="K72" s="30"/>
      <c r="L72" s="30"/>
      <c r="M72" s="30"/>
      <c r="O72" s="30"/>
    </row>
    <row r="73" spans="1:18" s="12" customFormat="1" ht="3" hidden="1" customHeight="1" x14ac:dyDescent="0.2">
      <c r="A73" s="445" t="s">
        <v>57</v>
      </c>
      <c r="B73" s="445"/>
      <c r="C73" s="445"/>
      <c r="D73" s="445"/>
      <c r="E73" s="445"/>
      <c r="F73" s="445"/>
      <c r="G73" s="445"/>
      <c r="H73" s="445"/>
      <c r="I73" s="445"/>
      <c r="J73" s="3"/>
      <c r="K73" s="30"/>
      <c r="L73" s="57">
        <f>SUM(I78+I79+I90+I100)/I37</f>
        <v>0.88223318469573642</v>
      </c>
      <c r="M73" s="30"/>
      <c r="O73" s="30"/>
    </row>
    <row r="74" spans="1:18" s="12" customFormat="1" ht="22.5" hidden="1" customHeight="1" x14ac:dyDescent="0.2">
      <c r="A74" s="446" t="s">
        <v>58</v>
      </c>
      <c r="B74" s="446"/>
      <c r="C74" s="446"/>
      <c r="D74" s="446"/>
      <c r="E74" s="446"/>
      <c r="F74" s="446"/>
      <c r="G74" s="446"/>
      <c r="H74" s="446"/>
      <c r="I74" s="446"/>
      <c r="J74" s="3"/>
      <c r="K74" s="30"/>
      <c r="L74" s="30"/>
      <c r="M74" s="30"/>
      <c r="O74" s="30"/>
    </row>
    <row r="75" spans="1:18" s="12" customFormat="1" x14ac:dyDescent="0.2">
      <c r="A75" s="447"/>
      <c r="B75" s="447"/>
      <c r="C75" s="447"/>
      <c r="D75" s="447"/>
      <c r="E75" s="447"/>
      <c r="F75" s="447"/>
      <c r="G75" s="447"/>
      <c r="H75" s="447"/>
      <c r="I75" s="447"/>
      <c r="J75" s="3"/>
      <c r="K75" s="30"/>
      <c r="L75" s="30"/>
      <c r="M75" s="30"/>
      <c r="O75" s="30"/>
    </row>
    <row r="76" spans="1:18" s="12" customFormat="1" x14ac:dyDescent="0.2">
      <c r="A76" s="431" t="s">
        <v>59</v>
      </c>
      <c r="B76" s="431"/>
      <c r="C76" s="431"/>
      <c r="D76" s="431"/>
      <c r="E76" s="431"/>
      <c r="F76" s="431"/>
      <c r="G76" s="431"/>
      <c r="H76" s="431"/>
      <c r="I76" s="431"/>
      <c r="J76" s="3"/>
      <c r="K76" s="30"/>
      <c r="L76" s="30"/>
      <c r="M76" s="30"/>
      <c r="O76" s="30"/>
    </row>
    <row r="77" spans="1:18" s="12" customFormat="1" x14ac:dyDescent="0.2">
      <c r="A77" s="427" t="s">
        <v>60</v>
      </c>
      <c r="B77" s="427"/>
      <c r="C77" s="427"/>
      <c r="D77" s="427"/>
      <c r="E77" s="427"/>
      <c r="F77" s="427"/>
      <c r="G77" s="427"/>
      <c r="H77" s="427"/>
      <c r="I77" s="189" t="s">
        <v>19</v>
      </c>
      <c r="J77" s="3"/>
      <c r="K77" s="30"/>
      <c r="L77" s="30"/>
      <c r="M77" s="30"/>
      <c r="O77" s="30"/>
    </row>
    <row r="78" spans="1:18" s="12" customFormat="1" x14ac:dyDescent="0.2">
      <c r="A78" s="126" t="s">
        <v>61</v>
      </c>
      <c r="B78" s="428" t="s">
        <v>62</v>
      </c>
      <c r="C78" s="428"/>
      <c r="D78" s="428"/>
      <c r="E78" s="428"/>
      <c r="F78" s="428"/>
      <c r="G78" s="428"/>
      <c r="H78" s="428"/>
      <c r="I78" s="190">
        <f>I45</f>
        <v>1039.7263366666666</v>
      </c>
      <c r="J78" s="3"/>
      <c r="K78" s="30"/>
      <c r="L78" s="30"/>
      <c r="M78" s="30"/>
      <c r="O78" s="30"/>
    </row>
    <row r="79" spans="1:18" s="12" customFormat="1" x14ac:dyDescent="0.2">
      <c r="A79" s="126" t="s">
        <v>63</v>
      </c>
      <c r="B79" s="428" t="s">
        <v>64</v>
      </c>
      <c r="C79" s="428"/>
      <c r="D79" s="428"/>
      <c r="E79" s="428"/>
      <c r="F79" s="428"/>
      <c r="G79" s="428"/>
      <c r="H79" s="428"/>
      <c r="I79" s="190">
        <f>I61</f>
        <v>1862.4395419933339</v>
      </c>
      <c r="J79" s="3"/>
      <c r="K79" s="30"/>
      <c r="L79" s="30"/>
      <c r="M79" s="30"/>
      <c r="O79" s="30"/>
    </row>
    <row r="80" spans="1:18" s="12" customFormat="1" x14ac:dyDescent="0.2">
      <c r="A80" s="126" t="s">
        <v>65</v>
      </c>
      <c r="B80" s="428" t="s">
        <v>66</v>
      </c>
      <c r="C80" s="428"/>
      <c r="D80" s="428"/>
      <c r="E80" s="428"/>
      <c r="F80" s="428"/>
      <c r="G80" s="428"/>
      <c r="H80" s="428"/>
      <c r="I80" s="190">
        <f>I70</f>
        <v>571.53600000000006</v>
      </c>
      <c r="J80" s="3"/>
      <c r="K80" s="30"/>
      <c r="L80" s="30"/>
      <c r="M80" s="30"/>
      <c r="O80" s="30"/>
    </row>
    <row r="81" spans="1:15" s="12" customFormat="1" x14ac:dyDescent="0.2">
      <c r="A81" s="427" t="s">
        <v>67</v>
      </c>
      <c r="B81" s="427"/>
      <c r="C81" s="427"/>
      <c r="D81" s="427"/>
      <c r="E81" s="427"/>
      <c r="F81" s="427"/>
      <c r="G81" s="427"/>
      <c r="H81" s="427"/>
      <c r="I81" s="191">
        <f>TRUNC(SUM(I78:I80),2)</f>
        <v>3473.7</v>
      </c>
      <c r="J81" s="3"/>
      <c r="K81" s="30"/>
      <c r="L81" s="30"/>
      <c r="M81" s="30"/>
      <c r="O81" s="30"/>
    </row>
    <row r="82" spans="1:15" s="12" customFormat="1" x14ac:dyDescent="0.2">
      <c r="A82" s="11"/>
      <c r="B82" s="11"/>
      <c r="C82" s="11"/>
      <c r="D82" s="11"/>
      <c r="E82" s="11"/>
      <c r="F82" s="11"/>
      <c r="G82" s="11"/>
      <c r="H82" s="11"/>
      <c r="I82" s="195"/>
      <c r="J82" s="3"/>
      <c r="K82" s="30"/>
      <c r="L82" s="30"/>
      <c r="M82" s="30"/>
      <c r="O82" s="30"/>
    </row>
    <row r="83" spans="1:15" s="12" customFormat="1" x14ac:dyDescent="0.2">
      <c r="A83" s="431" t="s">
        <v>68</v>
      </c>
      <c r="B83" s="431"/>
      <c r="C83" s="431"/>
      <c r="D83" s="431"/>
      <c r="E83" s="431"/>
      <c r="F83" s="431"/>
      <c r="G83" s="431"/>
      <c r="H83" s="431"/>
      <c r="I83" s="431"/>
      <c r="J83" s="3"/>
      <c r="K83" s="30"/>
      <c r="L83" s="30"/>
      <c r="M83" s="30"/>
      <c r="O83" s="30"/>
    </row>
    <row r="84" spans="1:15" s="12" customFormat="1" x14ac:dyDescent="0.2">
      <c r="A84" s="126">
        <v>3</v>
      </c>
      <c r="B84" s="427" t="s">
        <v>69</v>
      </c>
      <c r="C84" s="427"/>
      <c r="D84" s="427"/>
      <c r="E84" s="427"/>
      <c r="F84" s="427"/>
      <c r="G84" s="427"/>
      <c r="H84" s="126" t="s">
        <v>18</v>
      </c>
      <c r="I84" s="189" t="s">
        <v>19</v>
      </c>
      <c r="L84" s="57"/>
    </row>
    <row r="85" spans="1:15" s="12" customFormat="1" x14ac:dyDescent="0.2">
      <c r="A85" s="126" t="s">
        <v>1</v>
      </c>
      <c r="B85" s="428" t="s">
        <v>70</v>
      </c>
      <c r="C85" s="428"/>
      <c r="D85" s="428"/>
      <c r="E85" s="428"/>
      <c r="F85" s="428"/>
      <c r="G85" s="428"/>
      <c r="H85" s="4">
        <v>4.5999999999999999E-3</v>
      </c>
      <c r="I85" s="190">
        <f t="shared" ref="I85:I89" si="0">$I$37*H85</f>
        <v>16.742941999999999</v>
      </c>
      <c r="J85" s="3"/>
      <c r="K85" s="14"/>
    </row>
    <row r="86" spans="1:15" s="12" customFormat="1" x14ac:dyDescent="0.2">
      <c r="A86" s="126" t="s">
        <v>2</v>
      </c>
      <c r="B86" s="428" t="s">
        <v>71</v>
      </c>
      <c r="C86" s="428"/>
      <c r="D86" s="428"/>
      <c r="E86" s="428"/>
      <c r="F86" s="428"/>
      <c r="G86" s="428"/>
      <c r="H86" s="4">
        <f>H85*0.08</f>
        <v>3.68E-4</v>
      </c>
      <c r="I86" s="190">
        <f t="shared" si="0"/>
        <v>1.33943536</v>
      </c>
      <c r="J86" s="3"/>
      <c r="K86" s="30"/>
    </row>
    <row r="87" spans="1:15" s="12" customFormat="1" x14ac:dyDescent="0.2">
      <c r="A87" s="126" t="s">
        <v>4</v>
      </c>
      <c r="B87" s="428" t="s">
        <v>72</v>
      </c>
      <c r="C87" s="428"/>
      <c r="D87" s="428"/>
      <c r="E87" s="428"/>
      <c r="F87" s="428"/>
      <c r="G87" s="428"/>
      <c r="H87" s="4">
        <v>1.9400000000000001E-2</v>
      </c>
      <c r="I87" s="190">
        <f t="shared" si="0"/>
        <v>70.611537999999996</v>
      </c>
      <c r="J87" s="3"/>
      <c r="K87" s="30"/>
    </row>
    <row r="88" spans="1:15" s="12" customFormat="1" x14ac:dyDescent="0.2">
      <c r="A88" s="126" t="s">
        <v>6</v>
      </c>
      <c r="B88" s="428" t="s">
        <v>73</v>
      </c>
      <c r="C88" s="428"/>
      <c r="D88" s="428"/>
      <c r="E88" s="428"/>
      <c r="F88" s="428"/>
      <c r="G88" s="428"/>
      <c r="H88" s="13">
        <f>H87*H61</f>
        <v>7.721200000000001E-3</v>
      </c>
      <c r="I88" s="190">
        <f t="shared" si="0"/>
        <v>28.103392124000003</v>
      </c>
      <c r="J88" s="3"/>
      <c r="K88" s="30"/>
    </row>
    <row r="89" spans="1:15" s="12" customFormat="1" ht="45.75" customHeight="1" x14ac:dyDescent="0.2">
      <c r="A89" s="413" t="s">
        <v>23</v>
      </c>
      <c r="B89" s="517" t="s">
        <v>478</v>
      </c>
      <c r="C89" s="517"/>
      <c r="D89" s="517"/>
      <c r="E89" s="517"/>
      <c r="F89" s="517"/>
      <c r="G89" s="517"/>
      <c r="H89" s="414">
        <v>0.04</v>
      </c>
      <c r="I89" s="418">
        <f t="shared" si="0"/>
        <v>145.5908</v>
      </c>
      <c r="J89" s="3"/>
      <c r="K89" s="30"/>
    </row>
    <row r="90" spans="1:15" s="12" customFormat="1" x14ac:dyDescent="0.2">
      <c r="A90" s="427" t="s">
        <v>74</v>
      </c>
      <c r="B90" s="427"/>
      <c r="C90" s="427"/>
      <c r="D90" s="427"/>
      <c r="E90" s="427"/>
      <c r="F90" s="427"/>
      <c r="G90" s="427"/>
      <c r="H90" s="5">
        <f>TRUNC(SUM(H85:H89),4)</f>
        <v>7.1999999999999995E-2</v>
      </c>
      <c r="I90" s="191">
        <f>TRUNC(SUM(I85:I89),2)</f>
        <v>262.38</v>
      </c>
      <c r="J90" s="3"/>
      <c r="K90" s="30"/>
    </row>
    <row r="91" spans="1:15" s="12" customFormat="1" x14ac:dyDescent="0.2">
      <c r="A91" s="441"/>
      <c r="B91" s="441"/>
      <c r="C91" s="441"/>
      <c r="D91" s="441"/>
      <c r="E91" s="441"/>
      <c r="F91" s="441"/>
      <c r="G91" s="441"/>
      <c r="H91" s="441"/>
      <c r="I91" s="441"/>
      <c r="J91" s="15"/>
      <c r="K91" s="30"/>
    </row>
    <row r="92" spans="1:15" s="12" customFormat="1" x14ac:dyDescent="0.2">
      <c r="A92" s="431" t="s">
        <v>75</v>
      </c>
      <c r="B92" s="431"/>
      <c r="C92" s="431"/>
      <c r="D92" s="431"/>
      <c r="E92" s="431"/>
      <c r="F92" s="431"/>
      <c r="G92" s="431"/>
      <c r="H92" s="431"/>
      <c r="I92" s="431"/>
      <c r="J92" s="15"/>
      <c r="K92" s="16"/>
    </row>
    <row r="93" spans="1:15" s="12" customFormat="1" x14ac:dyDescent="0.2">
      <c r="A93" s="437" t="s">
        <v>76</v>
      </c>
      <c r="B93" s="437"/>
      <c r="C93" s="437"/>
      <c r="D93" s="437"/>
      <c r="E93" s="437"/>
      <c r="F93" s="437"/>
      <c r="G93" s="437"/>
      <c r="H93" s="129" t="s">
        <v>18</v>
      </c>
      <c r="I93" s="196" t="s">
        <v>19</v>
      </c>
      <c r="J93" s="15"/>
      <c r="K93" s="16"/>
    </row>
    <row r="94" spans="1:15" s="12" customFormat="1" x14ac:dyDescent="0.2">
      <c r="A94" s="126" t="s">
        <v>1</v>
      </c>
      <c r="B94" s="428" t="s">
        <v>340</v>
      </c>
      <c r="C94" s="428"/>
      <c r="D94" s="428"/>
      <c r="E94" s="428"/>
      <c r="F94" s="428"/>
      <c r="G94" s="428"/>
      <c r="H94" s="4">
        <v>9.2999999999999992E-3</v>
      </c>
      <c r="I94" s="190">
        <f t="shared" ref="I94:I99" si="1">$I$37*H94</f>
        <v>33.849860999999997</v>
      </c>
      <c r="J94" s="30"/>
      <c r="K94" s="17"/>
    </row>
    <row r="95" spans="1:15" s="12" customFormat="1" x14ac:dyDescent="0.2">
      <c r="A95" s="126" t="s">
        <v>2</v>
      </c>
      <c r="B95" s="428" t="s">
        <v>341</v>
      </c>
      <c r="C95" s="428"/>
      <c r="D95" s="428"/>
      <c r="E95" s="428"/>
      <c r="F95" s="428"/>
      <c r="G95" s="428"/>
      <c r="H95" s="4">
        <v>2.8E-3</v>
      </c>
      <c r="I95" s="190">
        <f>$I$37*H95</f>
        <v>10.191355999999999</v>
      </c>
      <c r="J95" s="18"/>
      <c r="K95" s="30"/>
    </row>
    <row r="96" spans="1:15" s="12" customFormat="1" x14ac:dyDescent="0.2">
      <c r="A96" s="126" t="s">
        <v>4</v>
      </c>
      <c r="B96" s="428" t="s">
        <v>342</v>
      </c>
      <c r="C96" s="428"/>
      <c r="D96" s="428"/>
      <c r="E96" s="428"/>
      <c r="F96" s="428"/>
      <c r="G96" s="428"/>
      <c r="H96" s="4">
        <v>2.0000000000000001E-4</v>
      </c>
      <c r="I96" s="190">
        <f>$I$37*H96</f>
        <v>0.72795399999999999</v>
      </c>
      <c r="J96" s="3"/>
      <c r="K96" s="30"/>
    </row>
    <row r="97" spans="1:14" s="12" customFormat="1" x14ac:dyDescent="0.2">
      <c r="A97" s="126" t="s">
        <v>6</v>
      </c>
      <c r="B97" s="428" t="s">
        <v>343</v>
      </c>
      <c r="C97" s="428"/>
      <c r="D97" s="428"/>
      <c r="E97" s="428"/>
      <c r="F97" s="428"/>
      <c r="G97" s="428"/>
      <c r="H97" s="4">
        <v>2.9999999999999997E-4</v>
      </c>
      <c r="I97" s="190">
        <f t="shared" si="1"/>
        <v>1.091931</v>
      </c>
      <c r="J97" s="3"/>
      <c r="K97" s="30"/>
    </row>
    <row r="98" spans="1:14" s="12" customFormat="1" x14ac:dyDescent="0.2">
      <c r="A98" s="126" t="s">
        <v>23</v>
      </c>
      <c r="B98" s="428" t="s">
        <v>344</v>
      </c>
      <c r="C98" s="428"/>
      <c r="D98" s="428"/>
      <c r="E98" s="428"/>
      <c r="F98" s="428"/>
      <c r="G98" s="428"/>
      <c r="H98" s="4">
        <v>2.0000000000000001E-4</v>
      </c>
      <c r="I98" s="190">
        <f t="shared" si="1"/>
        <v>0.72795399999999999</v>
      </c>
      <c r="J98" s="3"/>
      <c r="K98" s="30"/>
    </row>
    <row r="99" spans="1:14" s="12" customFormat="1" x14ac:dyDescent="0.2">
      <c r="A99" s="126" t="s">
        <v>25</v>
      </c>
      <c r="B99" s="428" t="s">
        <v>77</v>
      </c>
      <c r="C99" s="428"/>
      <c r="D99" s="428"/>
      <c r="E99" s="428"/>
      <c r="F99" s="428"/>
      <c r="G99" s="428"/>
      <c r="H99" s="4">
        <v>0</v>
      </c>
      <c r="I99" s="190">
        <f t="shared" si="1"/>
        <v>0</v>
      </c>
      <c r="J99" s="3"/>
      <c r="K99" s="30"/>
    </row>
    <row r="100" spans="1:14" s="12" customFormat="1" x14ac:dyDescent="0.2">
      <c r="A100" s="427" t="s">
        <v>78</v>
      </c>
      <c r="B100" s="427"/>
      <c r="C100" s="427"/>
      <c r="D100" s="427"/>
      <c r="E100" s="427"/>
      <c r="F100" s="427"/>
      <c r="G100" s="427"/>
      <c r="H100" s="5">
        <f>TRUNC(SUM(H94:H99),4)</f>
        <v>1.2800000000000001E-2</v>
      </c>
      <c r="I100" s="191">
        <f>TRUNC(SUM(I94:I99),2)</f>
        <v>46.58</v>
      </c>
      <c r="J100" s="3"/>
      <c r="K100" s="30"/>
    </row>
    <row r="101" spans="1:14" s="12" customFormat="1" x14ac:dyDescent="0.2">
      <c r="A101" s="440"/>
      <c r="B101" s="440"/>
      <c r="C101" s="440"/>
      <c r="D101" s="440"/>
      <c r="E101" s="440"/>
      <c r="F101" s="440"/>
      <c r="G101" s="440"/>
      <c r="H101" s="440"/>
      <c r="I101" s="440"/>
      <c r="J101" s="3"/>
      <c r="K101" s="30"/>
    </row>
    <row r="102" spans="1:14" s="12" customFormat="1" x14ac:dyDescent="0.2">
      <c r="A102" s="437" t="s">
        <v>79</v>
      </c>
      <c r="B102" s="437"/>
      <c r="C102" s="437"/>
      <c r="D102" s="437"/>
      <c r="E102" s="437"/>
      <c r="F102" s="437"/>
      <c r="G102" s="437"/>
      <c r="H102" s="129" t="s">
        <v>18</v>
      </c>
      <c r="I102" s="196" t="s">
        <v>19</v>
      </c>
      <c r="J102" s="3"/>
      <c r="K102" s="30"/>
    </row>
    <row r="103" spans="1:14" s="12" customFormat="1" x14ac:dyDescent="0.2">
      <c r="A103" s="368" t="s">
        <v>1</v>
      </c>
      <c r="B103" s="438" t="s">
        <v>80</v>
      </c>
      <c r="C103" s="438"/>
      <c r="D103" s="438"/>
      <c r="E103" s="438"/>
      <c r="F103" s="438"/>
      <c r="G103" s="438"/>
      <c r="H103" s="277">
        <v>0</v>
      </c>
      <c r="I103" s="370">
        <v>22.8</v>
      </c>
      <c r="J103" s="3"/>
      <c r="K103" s="30"/>
    </row>
    <row r="104" spans="1:14" s="12" customFormat="1" x14ac:dyDescent="0.2">
      <c r="A104" s="427" t="s">
        <v>81</v>
      </c>
      <c r="B104" s="427"/>
      <c r="C104" s="427"/>
      <c r="D104" s="427"/>
      <c r="E104" s="427"/>
      <c r="F104" s="427"/>
      <c r="G104" s="427"/>
      <c r="H104" s="5">
        <f>TRUNC(SUM(H103),4)</f>
        <v>0</v>
      </c>
      <c r="I104" s="190">
        <f>TRUNC(SUM(I103),2)</f>
        <v>22.8</v>
      </c>
      <c r="J104" s="3"/>
      <c r="K104" s="30"/>
    </row>
    <row r="105" spans="1:14" s="12" customFormat="1" x14ac:dyDescent="0.2">
      <c r="A105" s="439"/>
      <c r="B105" s="439"/>
      <c r="C105" s="439"/>
      <c r="D105" s="439"/>
      <c r="E105" s="439"/>
      <c r="F105" s="439"/>
      <c r="G105" s="439"/>
      <c r="H105" s="439"/>
      <c r="I105" s="439"/>
      <c r="J105" s="3"/>
      <c r="K105" s="30"/>
      <c r="M105" s="40"/>
      <c r="N105" s="56">
        <f>M105/2</f>
        <v>0</v>
      </c>
    </row>
    <row r="106" spans="1:14" s="12" customFormat="1" x14ac:dyDescent="0.2">
      <c r="A106" s="431" t="s">
        <v>82</v>
      </c>
      <c r="B106" s="431"/>
      <c r="C106" s="431"/>
      <c r="D106" s="431"/>
      <c r="E106" s="431"/>
      <c r="F106" s="431"/>
      <c r="G106" s="431"/>
      <c r="H106" s="431"/>
      <c r="I106" s="431"/>
      <c r="J106" s="3"/>
      <c r="K106" s="30"/>
    </row>
    <row r="107" spans="1:14" s="12" customFormat="1" x14ac:dyDescent="0.2">
      <c r="A107" s="427" t="s">
        <v>83</v>
      </c>
      <c r="B107" s="427"/>
      <c r="C107" s="427"/>
      <c r="D107" s="427"/>
      <c r="E107" s="427"/>
      <c r="F107" s="427"/>
      <c r="G107" s="427"/>
      <c r="H107" s="427"/>
      <c r="I107" s="189" t="s">
        <v>19</v>
      </c>
      <c r="J107" s="3"/>
      <c r="K107" s="30"/>
      <c r="M107" s="58"/>
    </row>
    <row r="108" spans="1:14" s="12" customFormat="1" x14ac:dyDescent="0.2">
      <c r="A108" s="126" t="s">
        <v>84</v>
      </c>
      <c r="B108" s="471" t="s">
        <v>85</v>
      </c>
      <c r="C108" s="471"/>
      <c r="D108" s="471"/>
      <c r="E108" s="471"/>
      <c r="F108" s="471"/>
      <c r="G108" s="471"/>
      <c r="H108" s="471"/>
      <c r="I108" s="190">
        <f>I100</f>
        <v>46.58</v>
      </c>
      <c r="J108" s="3"/>
      <c r="K108" s="30"/>
    </row>
    <row r="109" spans="1:14" s="12" customFormat="1" x14ac:dyDescent="0.2">
      <c r="A109" s="126" t="s">
        <v>86</v>
      </c>
      <c r="B109" s="471" t="s">
        <v>87</v>
      </c>
      <c r="C109" s="471"/>
      <c r="D109" s="471"/>
      <c r="E109" s="471"/>
      <c r="F109" s="471"/>
      <c r="G109" s="471"/>
      <c r="H109" s="471"/>
      <c r="I109" s="190">
        <f>I104</f>
        <v>22.8</v>
      </c>
      <c r="J109" s="3"/>
      <c r="K109" s="30"/>
    </row>
    <row r="110" spans="1:14" s="12" customFormat="1" x14ac:dyDescent="0.2">
      <c r="A110" s="427" t="s">
        <v>88</v>
      </c>
      <c r="B110" s="427"/>
      <c r="C110" s="427"/>
      <c r="D110" s="427"/>
      <c r="E110" s="427"/>
      <c r="F110" s="427"/>
      <c r="G110" s="427"/>
      <c r="H110" s="427"/>
      <c r="I110" s="191">
        <f>TRUNC(SUM(I108:I109),2)</f>
        <v>69.38</v>
      </c>
      <c r="J110" s="3"/>
      <c r="K110" s="30"/>
    </row>
    <row r="111" spans="1:14" s="12" customFormat="1" x14ac:dyDescent="0.2">
      <c r="A111" s="436"/>
      <c r="B111" s="436"/>
      <c r="C111" s="436"/>
      <c r="D111" s="436"/>
      <c r="E111" s="436"/>
      <c r="F111" s="436"/>
      <c r="G111" s="436"/>
      <c r="H111" s="436"/>
      <c r="I111" s="436"/>
      <c r="J111" s="3"/>
      <c r="K111" s="30"/>
    </row>
    <row r="112" spans="1:14" s="12" customFormat="1" x14ac:dyDescent="0.2">
      <c r="A112" s="431" t="s">
        <v>89</v>
      </c>
      <c r="B112" s="431"/>
      <c r="C112" s="431"/>
      <c r="D112" s="431"/>
      <c r="E112" s="431"/>
      <c r="F112" s="431"/>
      <c r="G112" s="431"/>
      <c r="H112" s="431"/>
      <c r="I112" s="431"/>
      <c r="J112" s="3"/>
      <c r="K112" s="30"/>
    </row>
    <row r="113" spans="1:11" s="12" customFormat="1" x14ac:dyDescent="0.2">
      <c r="A113" s="126">
        <v>5</v>
      </c>
      <c r="B113" s="427" t="s">
        <v>90</v>
      </c>
      <c r="C113" s="427"/>
      <c r="D113" s="427"/>
      <c r="E113" s="427"/>
      <c r="F113" s="427"/>
      <c r="G113" s="427"/>
      <c r="H113" s="126"/>
      <c r="I113" s="189" t="s">
        <v>19</v>
      </c>
      <c r="J113" s="3"/>
      <c r="K113" s="30"/>
    </row>
    <row r="114" spans="1:11" s="12" customFormat="1" x14ac:dyDescent="0.2">
      <c r="A114" s="126" t="s">
        <v>1</v>
      </c>
      <c r="B114" s="435" t="s">
        <v>91</v>
      </c>
      <c r="C114" s="435"/>
      <c r="D114" s="435"/>
      <c r="E114" s="435"/>
      <c r="F114" s="435"/>
      <c r="G114" s="435"/>
      <c r="H114" s="124" t="s">
        <v>92</v>
      </c>
      <c r="I114" s="190">
        <f>UNIFORME_EPI!H13</f>
        <v>53.9</v>
      </c>
      <c r="J114" s="3"/>
      <c r="K114" s="30"/>
    </row>
    <row r="115" spans="1:11" s="12" customFormat="1" x14ac:dyDescent="0.2">
      <c r="A115" s="126" t="s">
        <v>2</v>
      </c>
      <c r="B115" s="435" t="s">
        <v>447</v>
      </c>
      <c r="C115" s="435"/>
      <c r="D115" s="435"/>
      <c r="E115" s="435"/>
      <c r="F115" s="435"/>
      <c r="G115" s="435"/>
      <c r="H115" s="124" t="s">
        <v>92</v>
      </c>
      <c r="I115" s="190">
        <f>EQUIPAMENTOS!G16</f>
        <v>4.3181190476190476</v>
      </c>
      <c r="J115" s="3"/>
      <c r="K115" s="30"/>
    </row>
    <row r="116" spans="1:11" s="12" customFormat="1" x14ac:dyDescent="0.2">
      <c r="A116" s="19" t="s">
        <v>4</v>
      </c>
      <c r="B116" s="435" t="s">
        <v>400</v>
      </c>
      <c r="C116" s="435"/>
      <c r="D116" s="435"/>
      <c r="E116" s="435"/>
      <c r="F116" s="435"/>
      <c r="G116" s="435"/>
      <c r="H116" s="124" t="s">
        <v>92</v>
      </c>
      <c r="I116" s="190">
        <f>MOTOCICLETA!G8</f>
        <v>347.91666666666669</v>
      </c>
      <c r="J116" s="3"/>
      <c r="K116" s="30"/>
    </row>
    <row r="117" spans="1:11" s="12" customFormat="1" x14ac:dyDescent="0.2">
      <c r="A117" s="298" t="s">
        <v>6</v>
      </c>
      <c r="B117" s="435" t="s">
        <v>402</v>
      </c>
      <c r="C117" s="435"/>
      <c r="D117" s="435"/>
      <c r="E117" s="435"/>
      <c r="F117" s="435"/>
      <c r="G117" s="435"/>
      <c r="H117" s="299"/>
      <c r="I117" s="190">
        <f>UNIFORME_EPI!H48</f>
        <v>35.166666666666664</v>
      </c>
      <c r="J117" s="3"/>
      <c r="K117" s="30"/>
    </row>
    <row r="118" spans="1:11" s="12" customFormat="1" x14ac:dyDescent="0.2">
      <c r="A118" s="19" t="s">
        <v>23</v>
      </c>
      <c r="B118" s="435" t="s">
        <v>212</v>
      </c>
      <c r="C118" s="435"/>
      <c r="D118" s="435"/>
      <c r="E118" s="435"/>
      <c r="F118" s="435"/>
      <c r="G118" s="435"/>
      <c r="H118" s="124" t="s">
        <v>92</v>
      </c>
      <c r="I118" s="190">
        <f>'RELÓGIO_ PONTO '!G8</f>
        <v>4.4444444444444438</v>
      </c>
      <c r="J118" s="3"/>
      <c r="K118" s="30"/>
    </row>
    <row r="119" spans="1:11" s="12" customFormat="1" x14ac:dyDescent="0.2">
      <c r="A119" s="427" t="s">
        <v>93</v>
      </c>
      <c r="B119" s="427"/>
      <c r="C119" s="427"/>
      <c r="D119" s="427"/>
      <c r="E119" s="427"/>
      <c r="F119" s="427"/>
      <c r="G119" s="427"/>
      <c r="H119" s="5" t="s">
        <v>92</v>
      </c>
      <c r="I119" s="191">
        <f>TRUNC(SUM(I114:I118),2)</f>
        <v>445.74</v>
      </c>
      <c r="J119" s="3"/>
      <c r="K119" s="30"/>
    </row>
    <row r="120" spans="1:11" s="12" customFormat="1" x14ac:dyDescent="0.2">
      <c r="A120" s="436"/>
      <c r="B120" s="436"/>
      <c r="C120" s="436"/>
      <c r="D120" s="436"/>
      <c r="E120" s="436"/>
      <c r="F120" s="436"/>
      <c r="G120" s="436"/>
      <c r="H120" s="436"/>
      <c r="I120" s="436"/>
      <c r="J120" s="3"/>
      <c r="K120" s="30"/>
    </row>
    <row r="121" spans="1:11" s="12" customFormat="1" x14ac:dyDescent="0.2">
      <c r="A121" s="431" t="s">
        <v>94</v>
      </c>
      <c r="B121" s="431"/>
      <c r="C121" s="431"/>
      <c r="D121" s="431"/>
      <c r="E121" s="431"/>
      <c r="F121" s="431"/>
      <c r="G121" s="431"/>
      <c r="H121" s="431"/>
      <c r="I121" s="431"/>
      <c r="J121" s="3"/>
      <c r="K121" s="30"/>
    </row>
    <row r="122" spans="1:11" s="12" customFormat="1" x14ac:dyDescent="0.2">
      <c r="A122" s="126">
        <v>6</v>
      </c>
      <c r="B122" s="427" t="s">
        <v>95</v>
      </c>
      <c r="C122" s="427"/>
      <c r="D122" s="427"/>
      <c r="E122" s="427"/>
      <c r="F122" s="427"/>
      <c r="G122" s="427"/>
      <c r="H122" s="126" t="s">
        <v>18</v>
      </c>
      <c r="I122" s="189" t="s">
        <v>19</v>
      </c>
      <c r="J122" s="3"/>
      <c r="K122" s="30"/>
    </row>
    <row r="123" spans="1:11" s="12" customFormat="1" x14ac:dyDescent="0.2">
      <c r="A123" s="126" t="s">
        <v>1</v>
      </c>
      <c r="B123" s="428" t="s">
        <v>96</v>
      </c>
      <c r="C123" s="428"/>
      <c r="D123" s="428"/>
      <c r="E123" s="428"/>
      <c r="F123" s="428"/>
      <c r="G123" s="428"/>
      <c r="H123" s="122">
        <v>0.04</v>
      </c>
      <c r="I123" s="190">
        <f>TRUNC(H123*I147,2)</f>
        <v>315.63</v>
      </c>
      <c r="J123" s="3"/>
      <c r="K123" s="30"/>
    </row>
    <row r="124" spans="1:11" s="12" customFormat="1" x14ac:dyDescent="0.2">
      <c r="A124" s="126" t="s">
        <v>2</v>
      </c>
      <c r="B124" s="428" t="s">
        <v>97</v>
      </c>
      <c r="C124" s="428"/>
      <c r="D124" s="428"/>
      <c r="E124" s="428"/>
      <c r="F124" s="428"/>
      <c r="G124" s="428"/>
      <c r="H124" s="122">
        <v>0.04</v>
      </c>
      <c r="I124" s="190">
        <f>TRUNC(H124*(I123+I147),2)</f>
        <v>328.26</v>
      </c>
      <c r="J124" s="3"/>
      <c r="K124" s="40"/>
    </row>
    <row r="125" spans="1:11" s="12" customFormat="1" x14ac:dyDescent="0.2">
      <c r="A125" s="126" t="s">
        <v>4</v>
      </c>
      <c r="B125" s="434" t="s">
        <v>98</v>
      </c>
      <c r="C125" s="434"/>
      <c r="D125" s="434"/>
      <c r="E125" s="434"/>
      <c r="F125" s="434"/>
      <c r="G125" s="434"/>
      <c r="H125" s="2"/>
      <c r="I125" s="190"/>
      <c r="J125" s="3"/>
      <c r="K125" s="30"/>
    </row>
    <row r="126" spans="1:11" s="12" customFormat="1" x14ac:dyDescent="0.2">
      <c r="A126" s="126" t="s">
        <v>99</v>
      </c>
      <c r="B126" s="428" t="s">
        <v>100</v>
      </c>
      <c r="C126" s="428"/>
      <c r="D126" s="428"/>
      <c r="E126" s="428"/>
      <c r="F126" s="428"/>
      <c r="G126" s="428"/>
      <c r="H126" s="20">
        <v>1.6500000000000001E-2</v>
      </c>
      <c r="I126" s="190">
        <f>TRUNC(H126*I136,2)</f>
        <v>164.22</v>
      </c>
      <c r="K126" s="30"/>
    </row>
    <row r="127" spans="1:11" s="12" customFormat="1" hidden="1" x14ac:dyDescent="0.2">
      <c r="A127" s="126" t="s">
        <v>101</v>
      </c>
      <c r="B127" s="428" t="s">
        <v>102</v>
      </c>
      <c r="C127" s="428"/>
      <c r="D127" s="428"/>
      <c r="E127" s="428"/>
      <c r="F127" s="428"/>
      <c r="G127" s="428"/>
      <c r="H127" s="20">
        <v>7.5999999999999998E-2</v>
      </c>
      <c r="I127" s="190">
        <f>TRUNC(H127*I136,2)</f>
        <v>756.44</v>
      </c>
      <c r="K127" s="30"/>
    </row>
    <row r="128" spans="1:11" s="12" customFormat="1" hidden="1" x14ac:dyDescent="0.2">
      <c r="A128" s="126" t="s">
        <v>103</v>
      </c>
      <c r="B128" s="428" t="s">
        <v>104</v>
      </c>
      <c r="C128" s="428"/>
      <c r="D128" s="428"/>
      <c r="E128" s="428"/>
      <c r="F128" s="428"/>
      <c r="G128" s="428"/>
      <c r="H128" s="20">
        <v>0.05</v>
      </c>
      <c r="I128" s="190">
        <f>TRUNC(H128*I136,2)</f>
        <v>497.65</v>
      </c>
      <c r="K128" s="30"/>
    </row>
    <row r="129" spans="1:11" s="12" customFormat="1" hidden="1" x14ac:dyDescent="0.2">
      <c r="A129" s="427" t="s">
        <v>105</v>
      </c>
      <c r="B129" s="427"/>
      <c r="C129" s="427"/>
      <c r="D129" s="427"/>
      <c r="E129" s="427"/>
      <c r="F129" s="427"/>
      <c r="G129" s="427"/>
      <c r="H129" s="123">
        <f>SUM(H123:H128)</f>
        <v>0.22249999999999998</v>
      </c>
      <c r="I129" s="191">
        <f>TRUNC(SUM(I123:I128),2)</f>
        <v>2062.1999999999998</v>
      </c>
      <c r="K129" s="30"/>
    </row>
    <row r="130" spans="1:11" s="12" customFormat="1" hidden="1" x14ac:dyDescent="0.2">
      <c r="A130" s="125"/>
      <c r="B130" s="432"/>
      <c r="C130" s="432"/>
      <c r="D130" s="432"/>
      <c r="E130" s="432"/>
      <c r="F130" s="432"/>
      <c r="G130" s="432"/>
      <c r="H130" s="432"/>
      <c r="I130" s="432"/>
      <c r="K130" s="30"/>
    </row>
    <row r="131" spans="1:11" s="12" customFormat="1" hidden="1" x14ac:dyDescent="0.2">
      <c r="A131" s="21" t="s">
        <v>106</v>
      </c>
      <c r="B131" s="491" t="s">
        <v>107</v>
      </c>
      <c r="C131" s="491"/>
      <c r="D131" s="491"/>
      <c r="E131" s="491"/>
      <c r="F131" s="491"/>
      <c r="G131" s="491"/>
      <c r="H131" s="22">
        <f>TRUNC(H126+H127+H128,4)</f>
        <v>0.14249999999999999</v>
      </c>
      <c r="I131" s="197"/>
      <c r="K131" s="30"/>
    </row>
    <row r="132" spans="1:11" s="12" customFormat="1" hidden="1" x14ac:dyDescent="0.2">
      <c r="A132" s="23"/>
      <c r="B132" s="488">
        <v>100</v>
      </c>
      <c r="C132" s="488"/>
      <c r="D132" s="488"/>
      <c r="E132" s="488"/>
      <c r="F132" s="488"/>
      <c r="G132" s="488"/>
      <c r="H132" s="24"/>
      <c r="I132" s="198"/>
      <c r="K132" s="30"/>
    </row>
    <row r="133" spans="1:11" s="12" customFormat="1" hidden="1" x14ac:dyDescent="0.2">
      <c r="A133" s="25"/>
      <c r="B133" s="131"/>
      <c r="C133" s="131"/>
      <c r="D133" s="131"/>
      <c r="E133" s="131"/>
      <c r="F133" s="131"/>
      <c r="G133" s="131"/>
      <c r="H133" s="24"/>
      <c r="I133" s="198"/>
      <c r="K133" s="30"/>
    </row>
    <row r="134" spans="1:11" s="12" customFormat="1" hidden="1" x14ac:dyDescent="0.2">
      <c r="A134" s="23" t="s">
        <v>108</v>
      </c>
      <c r="B134" s="488" t="s">
        <v>109</v>
      </c>
      <c r="C134" s="488"/>
      <c r="D134" s="488"/>
      <c r="E134" s="488"/>
      <c r="F134" s="488"/>
      <c r="G134" s="488"/>
      <c r="H134" s="24"/>
      <c r="I134" s="198">
        <f>TRUNC(I147+I123+I124,2)</f>
        <v>8534.86</v>
      </c>
      <c r="K134" s="28"/>
    </row>
    <row r="135" spans="1:11" s="12" customFormat="1" ht="2.25" customHeight="1" x14ac:dyDescent="0.2">
      <c r="A135" s="23"/>
      <c r="B135" s="131"/>
      <c r="C135" s="131"/>
      <c r="D135" s="131"/>
      <c r="E135" s="131"/>
      <c r="F135" s="131"/>
      <c r="G135" s="131"/>
      <c r="H135" s="24"/>
      <c r="I135" s="198"/>
      <c r="K135" s="30"/>
    </row>
    <row r="136" spans="1:11" s="12" customFormat="1" x14ac:dyDescent="0.2">
      <c r="A136" s="23" t="s">
        <v>110</v>
      </c>
      <c r="B136" s="488" t="s">
        <v>111</v>
      </c>
      <c r="C136" s="488"/>
      <c r="D136" s="488"/>
      <c r="E136" s="488"/>
      <c r="F136" s="488"/>
      <c r="G136" s="488"/>
      <c r="H136" s="24"/>
      <c r="I136" s="198">
        <f>TRUNC(I134/(1-H131),2)</f>
        <v>9953.18</v>
      </c>
      <c r="K136" s="29"/>
    </row>
    <row r="137" spans="1:11" s="12" customFormat="1" x14ac:dyDescent="0.2">
      <c r="A137" s="23"/>
      <c r="B137" s="131"/>
      <c r="C137" s="131"/>
      <c r="D137" s="131"/>
      <c r="E137" s="131"/>
      <c r="F137" s="131"/>
      <c r="G137" s="131"/>
      <c r="H137" s="24"/>
      <c r="I137" s="198"/>
      <c r="K137" s="30"/>
    </row>
    <row r="138" spans="1:11" s="12" customFormat="1" x14ac:dyDescent="0.2">
      <c r="A138" s="26"/>
      <c r="B138" s="489" t="s">
        <v>112</v>
      </c>
      <c r="C138" s="489"/>
      <c r="D138" s="489"/>
      <c r="E138" s="489"/>
      <c r="F138" s="489"/>
      <c r="G138" s="489"/>
      <c r="H138" s="27"/>
      <c r="I138" s="199">
        <f>TRUNC(I136-I134,2)</f>
        <v>1418.32</v>
      </c>
      <c r="K138" s="30"/>
    </row>
    <row r="139" spans="1:11" s="12" customFormat="1" x14ac:dyDescent="0.2">
      <c r="A139" s="125"/>
      <c r="B139" s="125"/>
      <c r="C139" s="125"/>
      <c r="D139" s="125"/>
      <c r="E139" s="125"/>
      <c r="F139" s="125"/>
      <c r="G139" s="125"/>
      <c r="H139" s="125"/>
      <c r="I139" s="200"/>
      <c r="K139" s="30"/>
    </row>
    <row r="140" spans="1:11" s="12" customFormat="1" x14ac:dyDescent="0.2">
      <c r="A140" s="490" t="s">
        <v>113</v>
      </c>
      <c r="B140" s="490"/>
      <c r="C140" s="490"/>
      <c r="D140" s="490"/>
      <c r="E140" s="490"/>
      <c r="F140" s="490"/>
      <c r="G140" s="490"/>
      <c r="H140" s="490"/>
      <c r="I140" s="490"/>
      <c r="K140" s="29"/>
    </row>
    <row r="141" spans="1:11" s="12" customFormat="1" x14ac:dyDescent="0.2">
      <c r="A141" s="427" t="s">
        <v>114</v>
      </c>
      <c r="B141" s="427"/>
      <c r="C141" s="427"/>
      <c r="D141" s="427"/>
      <c r="E141" s="427"/>
      <c r="F141" s="427"/>
      <c r="G141" s="427"/>
      <c r="H141" s="427"/>
      <c r="I141" s="189" t="s">
        <v>19</v>
      </c>
      <c r="K141" s="29"/>
    </row>
    <row r="142" spans="1:11" s="12" customFormat="1" x14ac:dyDescent="0.2">
      <c r="A142" s="124" t="s">
        <v>1</v>
      </c>
      <c r="B142" s="428" t="str">
        <f>A27</f>
        <v>MÓDULO 1 - COMPOSIÇÃO DA REMUNERAÇÃO</v>
      </c>
      <c r="C142" s="428"/>
      <c r="D142" s="428"/>
      <c r="E142" s="428"/>
      <c r="F142" s="428"/>
      <c r="G142" s="428"/>
      <c r="H142" s="428"/>
      <c r="I142" s="190">
        <f>I37</f>
        <v>3639.77</v>
      </c>
      <c r="K142" s="30"/>
    </row>
    <row r="143" spans="1:11" s="12" customFormat="1" x14ac:dyDescent="0.2">
      <c r="A143" s="124" t="s">
        <v>2</v>
      </c>
      <c r="B143" s="428" t="str">
        <f>A39</f>
        <v>MÓDULO 2 – ENCARGOS E BENEFÍCIOS ANUAIS, MENSAIS E DIÁRIOS</v>
      </c>
      <c r="C143" s="428"/>
      <c r="D143" s="428"/>
      <c r="E143" s="428"/>
      <c r="F143" s="428"/>
      <c r="G143" s="428"/>
      <c r="H143" s="428"/>
      <c r="I143" s="190">
        <f>I81</f>
        <v>3473.7</v>
      </c>
      <c r="J143" s="40"/>
      <c r="K143" s="28"/>
    </row>
    <row r="144" spans="1:11" s="12" customFormat="1" x14ac:dyDescent="0.2">
      <c r="A144" s="124" t="s">
        <v>4</v>
      </c>
      <c r="B144" s="428" t="str">
        <f>A83</f>
        <v>MÓDULO 3 – PROVISÃO PARA RESCISÃO</v>
      </c>
      <c r="C144" s="428"/>
      <c r="D144" s="428"/>
      <c r="E144" s="428"/>
      <c r="F144" s="428"/>
      <c r="G144" s="428"/>
      <c r="H144" s="428"/>
      <c r="I144" s="190">
        <f>I90</f>
        <v>262.38</v>
      </c>
    </row>
    <row r="145" spans="1:11" s="12" customFormat="1" x14ac:dyDescent="0.2">
      <c r="A145" s="124" t="s">
        <v>6</v>
      </c>
      <c r="B145" s="428" t="str">
        <f>A92</f>
        <v>MÓDULO 4 – CUSTO DE REPOSIÇÃO DO PROFISSIONAL AUSENTE</v>
      </c>
      <c r="C145" s="428"/>
      <c r="D145" s="428"/>
      <c r="E145" s="428"/>
      <c r="F145" s="428"/>
      <c r="G145" s="428"/>
      <c r="H145" s="428"/>
      <c r="I145" s="190">
        <f>I110</f>
        <v>69.38</v>
      </c>
      <c r="J145" s="56"/>
      <c r="K145" s="56"/>
    </row>
    <row r="146" spans="1:11" s="12" customFormat="1" x14ac:dyDescent="0.2">
      <c r="A146" s="124" t="s">
        <v>23</v>
      </c>
      <c r="B146" s="428" t="str">
        <f>A112</f>
        <v>MÓDULO 5 – INSUMOS DIVERSOS</v>
      </c>
      <c r="C146" s="428"/>
      <c r="D146" s="428"/>
      <c r="E146" s="428"/>
      <c r="F146" s="428"/>
      <c r="G146" s="428"/>
      <c r="H146" s="428"/>
      <c r="I146" s="190">
        <f>I119</f>
        <v>445.74</v>
      </c>
    </row>
    <row r="147" spans="1:11" x14ac:dyDescent="0.2">
      <c r="A147" s="126"/>
      <c r="B147" s="427" t="s">
        <v>115</v>
      </c>
      <c r="C147" s="427"/>
      <c r="D147" s="427"/>
      <c r="E147" s="427"/>
      <c r="F147" s="427"/>
      <c r="G147" s="427"/>
      <c r="H147" s="427"/>
      <c r="I147" s="190">
        <f>TRUNC(SUM(I142:I146),2)</f>
        <v>7890.97</v>
      </c>
    </row>
    <row r="148" spans="1:11" x14ac:dyDescent="0.2">
      <c r="A148" s="124" t="s">
        <v>25</v>
      </c>
      <c r="B148" s="428" t="str">
        <f>A121</f>
        <v>MÓDULO 6 – CUSTOS INDIRETOS, TRIBUTOS E LUCRO</v>
      </c>
      <c r="C148" s="428"/>
      <c r="D148" s="428"/>
      <c r="E148" s="428"/>
      <c r="F148" s="428"/>
      <c r="G148" s="428"/>
      <c r="H148" s="428"/>
      <c r="I148" s="190">
        <f>I129</f>
        <v>2062.1999999999998</v>
      </c>
    </row>
    <row r="149" spans="1:11" x14ac:dyDescent="0.2">
      <c r="A149" s="427" t="s">
        <v>116</v>
      </c>
      <c r="B149" s="427"/>
      <c r="C149" s="427"/>
      <c r="D149" s="427"/>
      <c r="E149" s="427"/>
      <c r="F149" s="427"/>
      <c r="G149" s="427"/>
      <c r="H149" s="427"/>
      <c r="I149" s="208">
        <f>TRUNC(SUM(I147:I148),2)</f>
        <v>9953.17</v>
      </c>
    </row>
    <row r="150" spans="1:11" x14ac:dyDescent="0.2">
      <c r="A150" s="30"/>
      <c r="B150" s="30"/>
      <c r="C150" s="30"/>
      <c r="D150" s="30"/>
      <c r="E150" s="30"/>
      <c r="F150" s="30"/>
      <c r="G150" s="30"/>
      <c r="H150" s="30"/>
      <c r="I150" s="202"/>
    </row>
  </sheetData>
  <mergeCells count="153">
    <mergeCell ref="A1:I1"/>
    <mergeCell ref="A2:I2"/>
    <mergeCell ref="A4:I4"/>
    <mergeCell ref="A6:I6"/>
    <mergeCell ref="A8:I8"/>
    <mergeCell ref="B144:H144"/>
    <mergeCell ref="B145:H145"/>
    <mergeCell ref="B146:H146"/>
    <mergeCell ref="B147:H147"/>
    <mergeCell ref="B122:G122"/>
    <mergeCell ref="B123:G123"/>
    <mergeCell ref="B124:G124"/>
    <mergeCell ref="B125:G125"/>
    <mergeCell ref="B126:G126"/>
    <mergeCell ref="B127:G127"/>
    <mergeCell ref="B115:G115"/>
    <mergeCell ref="B116:G116"/>
    <mergeCell ref="B118:G118"/>
    <mergeCell ref="A119:G119"/>
    <mergeCell ref="A120:I120"/>
    <mergeCell ref="A121:I121"/>
    <mergeCell ref="B109:H109"/>
    <mergeCell ref="A110:H110"/>
    <mergeCell ref="A111:I111"/>
    <mergeCell ref="B148:H148"/>
    <mergeCell ref="A149:H149"/>
    <mergeCell ref="B136:G136"/>
    <mergeCell ref="B138:G138"/>
    <mergeCell ref="A140:I140"/>
    <mergeCell ref="A141:H141"/>
    <mergeCell ref="B142:H142"/>
    <mergeCell ref="B143:H143"/>
    <mergeCell ref="B128:G128"/>
    <mergeCell ref="A129:G129"/>
    <mergeCell ref="B130:I130"/>
    <mergeCell ref="B131:G131"/>
    <mergeCell ref="B132:G132"/>
    <mergeCell ref="B134:G134"/>
    <mergeCell ref="A112:I112"/>
    <mergeCell ref="B113:G113"/>
    <mergeCell ref="B114:G114"/>
    <mergeCell ref="B103:G103"/>
    <mergeCell ref="A104:G104"/>
    <mergeCell ref="A105:I105"/>
    <mergeCell ref="A106:I106"/>
    <mergeCell ref="A107:H107"/>
    <mergeCell ref="B108:H108"/>
    <mergeCell ref="B97:G97"/>
    <mergeCell ref="B98:G98"/>
    <mergeCell ref="B99:G99"/>
    <mergeCell ref="A100:G100"/>
    <mergeCell ref="A101:I101"/>
    <mergeCell ref="A102:G102"/>
    <mergeCell ref="A91:I91"/>
    <mergeCell ref="A92:I92"/>
    <mergeCell ref="A93:G93"/>
    <mergeCell ref="B94:G94"/>
    <mergeCell ref="B95:G95"/>
    <mergeCell ref="B96:G96"/>
    <mergeCell ref="B86:G86"/>
    <mergeCell ref="B87:G87"/>
    <mergeCell ref="B88:G88"/>
    <mergeCell ref="B89:G89"/>
    <mergeCell ref="A90:G90"/>
    <mergeCell ref="B79:H79"/>
    <mergeCell ref="B80:H80"/>
    <mergeCell ref="A81:H81"/>
    <mergeCell ref="A83:I83"/>
    <mergeCell ref="B84:G84"/>
    <mergeCell ref="B85:G85"/>
    <mergeCell ref="A73:I73"/>
    <mergeCell ref="A74:I74"/>
    <mergeCell ref="A75:I75"/>
    <mergeCell ref="A76:I76"/>
    <mergeCell ref="A77:H77"/>
    <mergeCell ref="B78:H78"/>
    <mergeCell ref="B68:G68"/>
    <mergeCell ref="B69:G69"/>
    <mergeCell ref="A70:H70"/>
    <mergeCell ref="A71:I71"/>
    <mergeCell ref="A72:I72"/>
    <mergeCell ref="J68:R68"/>
    <mergeCell ref="A62:I62"/>
    <mergeCell ref="A63:G63"/>
    <mergeCell ref="B64:G64"/>
    <mergeCell ref="B65:G65"/>
    <mergeCell ref="B66:G66"/>
    <mergeCell ref="B67:G67"/>
    <mergeCell ref="B56:G56"/>
    <mergeCell ref="B57:G57"/>
    <mergeCell ref="B58:G58"/>
    <mergeCell ref="B59:G59"/>
    <mergeCell ref="B60:G60"/>
    <mergeCell ref="A61:G61"/>
    <mergeCell ref="A50:I50"/>
    <mergeCell ref="A51:G51"/>
    <mergeCell ref="B52:G52"/>
    <mergeCell ref="B53:G53"/>
    <mergeCell ref="B54:G55"/>
    <mergeCell ref="I54:I55"/>
    <mergeCell ref="B42:G42"/>
    <mergeCell ref="A46:I46"/>
    <mergeCell ref="A47:I47"/>
    <mergeCell ref="A48:I48"/>
    <mergeCell ref="A49:I49"/>
    <mergeCell ref="A43:G43"/>
    <mergeCell ref="A45:G45"/>
    <mergeCell ref="A37:H37"/>
    <mergeCell ref="A38:I38"/>
    <mergeCell ref="A39:I39"/>
    <mergeCell ref="A40:G40"/>
    <mergeCell ref="B41:G41"/>
    <mergeCell ref="B28:G28"/>
    <mergeCell ref="B29:G29"/>
    <mergeCell ref="B30:G30"/>
    <mergeCell ref="B34:G34"/>
    <mergeCell ref="B35:G35"/>
    <mergeCell ref="A27:I27"/>
    <mergeCell ref="A20:I20"/>
    <mergeCell ref="B21:G21"/>
    <mergeCell ref="H21:I21"/>
    <mergeCell ref="B22:G22"/>
    <mergeCell ref="H22:I22"/>
    <mergeCell ref="B23:G23"/>
    <mergeCell ref="H23:I23"/>
    <mergeCell ref="B36:G36"/>
    <mergeCell ref="B31:G31"/>
    <mergeCell ref="B32:G32"/>
    <mergeCell ref="B33:G33"/>
    <mergeCell ref="B117:G117"/>
    <mergeCell ref="B44:G44"/>
    <mergeCell ref="A3:I3"/>
    <mergeCell ref="A10:I10"/>
    <mergeCell ref="B11:G11"/>
    <mergeCell ref="H11:I11"/>
    <mergeCell ref="A16:I16"/>
    <mergeCell ref="A17:B17"/>
    <mergeCell ref="C17:D17"/>
    <mergeCell ref="E17:I17"/>
    <mergeCell ref="A18:B18"/>
    <mergeCell ref="C18:D18"/>
    <mergeCell ref="E18:I18"/>
    <mergeCell ref="B12:G12"/>
    <mergeCell ref="H12:I12"/>
    <mergeCell ref="B13:G13"/>
    <mergeCell ref="H13:I13"/>
    <mergeCell ref="B14:G14"/>
    <mergeCell ref="H14:I14"/>
    <mergeCell ref="B24:G24"/>
    <mergeCell ref="H24:I24"/>
    <mergeCell ref="B25:G25"/>
    <mergeCell ref="H25:I25"/>
    <mergeCell ref="A26:I26"/>
  </mergeCells>
  <pageMargins left="0.51181102362204722" right="0.51181102362204722" top="1.6535433070866143" bottom="1.299212598425197" header="0.11811023622047245" footer="0.31496062992125984"/>
  <pageSetup paperSize="9" scale="74" orientation="portrait" r:id="rId1"/>
  <rowBreaks count="1" manualBreakCount="1">
    <brk id="74"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K145"/>
  <sheetViews>
    <sheetView view="pageBreakPreview" topLeftCell="A7" zoomScale="140" zoomScaleNormal="100" zoomScaleSheetLayoutView="140" workbookViewId="0">
      <selection activeCell="H24" sqref="H24:I24"/>
    </sheetView>
  </sheetViews>
  <sheetFormatPr defaultRowHeight="12.75" x14ac:dyDescent="0.2"/>
  <cols>
    <col min="1" max="1" width="9.140625" style="12"/>
    <col min="2" max="2" width="11.7109375" style="12" customWidth="1"/>
    <col min="3" max="6" width="9.140625" style="12"/>
    <col min="7" max="7" width="13.42578125" style="12" customWidth="1"/>
    <col min="8" max="8" width="14.140625" style="12" customWidth="1"/>
    <col min="9" max="9" width="16.42578125" style="180" bestFit="1" customWidth="1"/>
    <col min="10" max="10" width="9.140625" style="12"/>
    <col min="11" max="11" width="14.28515625" style="12" bestFit="1" customWidth="1"/>
    <col min="12" max="12" width="9.140625" style="12"/>
    <col min="13" max="13" width="13.7109375" style="12" bestFit="1" customWidth="1"/>
    <col min="14" max="1025" width="9.140625" style="12"/>
    <col min="1026" max="16384" width="9.140625" style="30"/>
  </cols>
  <sheetData>
    <row r="1" spans="1:15" x14ac:dyDescent="0.2">
      <c r="A1" s="479" t="s">
        <v>318</v>
      </c>
      <c r="B1" s="479"/>
      <c r="C1" s="479"/>
      <c r="D1" s="479"/>
      <c r="E1" s="479"/>
      <c r="F1" s="479"/>
      <c r="G1" s="479"/>
      <c r="H1" s="479"/>
      <c r="I1" s="479"/>
    </row>
    <row r="2" spans="1:15" x14ac:dyDescent="0.2">
      <c r="A2" s="479" t="s">
        <v>319</v>
      </c>
      <c r="B2" s="479"/>
      <c r="C2" s="479"/>
      <c r="D2" s="479"/>
      <c r="E2" s="479"/>
      <c r="F2" s="479"/>
      <c r="G2" s="479"/>
      <c r="H2" s="479"/>
      <c r="I2" s="479"/>
    </row>
    <row r="3" spans="1:15" x14ac:dyDescent="0.2">
      <c r="A3" s="479" t="s">
        <v>320</v>
      </c>
      <c r="B3" s="479"/>
      <c r="C3" s="479"/>
      <c r="D3" s="479"/>
      <c r="E3" s="479"/>
      <c r="F3" s="479"/>
      <c r="G3" s="479"/>
      <c r="H3" s="479"/>
      <c r="I3" s="479"/>
    </row>
    <row r="4" spans="1:15" s="12" customFormat="1" ht="12.75" customHeight="1" x14ac:dyDescent="0.2">
      <c r="A4" s="470"/>
      <c r="B4" s="470"/>
      <c r="C4" s="470"/>
      <c r="D4" s="470"/>
      <c r="E4" s="470"/>
      <c r="F4" s="470"/>
      <c r="G4" s="470"/>
      <c r="H4" s="470"/>
      <c r="I4" s="470"/>
      <c r="J4" s="30"/>
      <c r="K4" s="30"/>
      <c r="L4" s="30"/>
      <c r="M4" s="30"/>
      <c r="O4" s="30"/>
    </row>
    <row r="5" spans="1:15" s="12" customFormat="1" ht="12.75" customHeight="1" x14ac:dyDescent="0.2">
      <c r="A5" s="125"/>
      <c r="B5" s="125"/>
      <c r="C5" s="125"/>
      <c r="D5" s="125"/>
      <c r="E5" s="125"/>
      <c r="F5" s="125"/>
      <c r="G5" s="125"/>
      <c r="H5" s="125"/>
      <c r="I5" s="182"/>
      <c r="J5" s="30"/>
      <c r="K5" s="30"/>
      <c r="L5" s="30"/>
      <c r="M5" s="30"/>
      <c r="O5" s="30"/>
    </row>
    <row r="6" spans="1:15" s="12" customFormat="1" ht="12.75" customHeight="1" x14ac:dyDescent="0.2">
      <c r="A6" s="480" t="s">
        <v>347</v>
      </c>
      <c r="B6" s="480"/>
      <c r="C6" s="480"/>
      <c r="D6" s="480"/>
      <c r="E6" s="480"/>
      <c r="F6" s="480"/>
      <c r="G6" s="480"/>
      <c r="H6" s="480"/>
      <c r="I6" s="480"/>
      <c r="J6" s="30"/>
      <c r="K6" s="30"/>
      <c r="L6" s="30"/>
      <c r="M6" s="30"/>
      <c r="O6" s="30"/>
    </row>
    <row r="7" spans="1:15" s="12" customFormat="1" ht="12.75" customHeight="1" x14ac:dyDescent="0.2">
      <c r="A7" s="134"/>
      <c r="B7" s="134"/>
      <c r="C7" s="134"/>
      <c r="D7" s="134"/>
      <c r="E7" s="134"/>
      <c r="F7" s="134"/>
      <c r="G7" s="134"/>
      <c r="H7" s="134"/>
      <c r="I7" s="147"/>
      <c r="J7" s="30"/>
      <c r="K7" s="30"/>
      <c r="L7" s="30"/>
      <c r="M7" s="30"/>
      <c r="O7" s="30"/>
    </row>
    <row r="8" spans="1:15" s="12" customFormat="1" x14ac:dyDescent="0.2">
      <c r="A8" s="492" t="s">
        <v>460</v>
      </c>
      <c r="B8" s="492"/>
      <c r="C8" s="492"/>
      <c r="D8" s="492"/>
      <c r="E8" s="492"/>
      <c r="F8" s="492"/>
      <c r="G8" s="492"/>
      <c r="H8" s="492"/>
      <c r="I8" s="492"/>
      <c r="J8" s="30"/>
      <c r="K8" s="30"/>
      <c r="L8" s="30"/>
      <c r="M8" s="30"/>
      <c r="O8" s="30"/>
    </row>
    <row r="9" spans="1:15" s="12" customFormat="1" x14ac:dyDescent="0.2">
      <c r="A9" s="1"/>
      <c r="B9" s="1"/>
      <c r="C9" s="1"/>
      <c r="D9" s="1"/>
      <c r="E9" s="1"/>
      <c r="F9" s="1"/>
      <c r="G9" s="1"/>
      <c r="H9" s="1"/>
      <c r="I9" s="148"/>
      <c r="J9" s="30"/>
      <c r="K9" s="30"/>
      <c r="L9" s="30"/>
      <c r="M9" s="30"/>
      <c r="O9" s="30"/>
    </row>
    <row r="10" spans="1:15" s="12" customFormat="1" x14ac:dyDescent="0.2">
      <c r="A10" s="473" t="s">
        <v>0</v>
      </c>
      <c r="B10" s="473"/>
      <c r="C10" s="473"/>
      <c r="D10" s="473"/>
      <c r="E10" s="473"/>
      <c r="F10" s="473"/>
      <c r="G10" s="473"/>
      <c r="H10" s="473"/>
      <c r="I10" s="473"/>
      <c r="J10" s="30"/>
      <c r="K10" s="30"/>
      <c r="L10" s="30"/>
      <c r="M10" s="30"/>
      <c r="O10" s="30"/>
    </row>
    <row r="11" spans="1:15" s="12" customFormat="1" x14ac:dyDescent="0.2">
      <c r="A11" s="124" t="s">
        <v>1</v>
      </c>
      <c r="B11" s="428" t="s">
        <v>315</v>
      </c>
      <c r="C11" s="428"/>
      <c r="D11" s="428"/>
      <c r="E11" s="428"/>
      <c r="F11" s="428"/>
      <c r="G11" s="428"/>
      <c r="H11" s="478" t="s">
        <v>463</v>
      </c>
      <c r="I11" s="478"/>
      <c r="J11" s="30"/>
      <c r="K11" s="30"/>
      <c r="L11" s="30"/>
      <c r="M11" s="30"/>
      <c r="O11" s="30"/>
    </row>
    <row r="12" spans="1:15" s="12" customFormat="1" x14ac:dyDescent="0.2">
      <c r="A12" s="124" t="s">
        <v>2</v>
      </c>
      <c r="B12" s="428" t="s">
        <v>3</v>
      </c>
      <c r="C12" s="428"/>
      <c r="D12" s="428"/>
      <c r="E12" s="428"/>
      <c r="F12" s="428"/>
      <c r="G12" s="428"/>
      <c r="H12" s="471" t="s">
        <v>118</v>
      </c>
      <c r="I12" s="471"/>
      <c r="J12" s="30"/>
      <c r="K12" s="30"/>
      <c r="L12" s="30"/>
      <c r="M12" s="30"/>
      <c r="O12" s="30"/>
    </row>
    <row r="13" spans="1:15" s="12" customFormat="1" x14ac:dyDescent="0.2">
      <c r="A13" s="124" t="s">
        <v>4</v>
      </c>
      <c r="B13" s="428" t="s">
        <v>5</v>
      </c>
      <c r="C13" s="428"/>
      <c r="D13" s="428"/>
      <c r="E13" s="428"/>
      <c r="F13" s="428"/>
      <c r="G13" s="428"/>
      <c r="H13" s="532" t="s">
        <v>480</v>
      </c>
      <c r="I13" s="532"/>
      <c r="J13" s="30"/>
      <c r="K13" s="30"/>
      <c r="L13" s="30"/>
      <c r="M13" s="30"/>
      <c r="O13" s="30"/>
    </row>
    <row r="14" spans="1:15" s="12" customFormat="1" x14ac:dyDescent="0.2">
      <c r="A14" s="124" t="s">
        <v>6</v>
      </c>
      <c r="B14" s="428" t="s">
        <v>7</v>
      </c>
      <c r="C14" s="428"/>
      <c r="D14" s="428"/>
      <c r="E14" s="428"/>
      <c r="F14" s="428"/>
      <c r="G14" s="428"/>
      <c r="H14" s="471">
        <v>12</v>
      </c>
      <c r="I14" s="471"/>
      <c r="J14" s="30"/>
      <c r="K14" s="30"/>
      <c r="L14" s="30"/>
      <c r="M14" s="30"/>
      <c r="O14" s="30"/>
    </row>
    <row r="15" spans="1:15" s="12" customFormat="1" x14ac:dyDescent="0.2">
      <c r="A15" s="125"/>
      <c r="B15" s="130"/>
      <c r="C15" s="130"/>
      <c r="D15" s="130"/>
      <c r="E15" s="130"/>
      <c r="F15" s="130"/>
      <c r="G15" s="130"/>
      <c r="H15" s="125"/>
      <c r="I15" s="182"/>
      <c r="J15" s="30"/>
      <c r="K15" s="30"/>
      <c r="L15" s="30"/>
      <c r="M15" s="30"/>
      <c r="O15" s="30"/>
    </row>
    <row r="16" spans="1:15" s="12" customFormat="1" x14ac:dyDescent="0.2">
      <c r="A16" s="473" t="s">
        <v>8</v>
      </c>
      <c r="B16" s="473"/>
      <c r="C16" s="473"/>
      <c r="D16" s="473"/>
      <c r="E16" s="473"/>
      <c r="F16" s="473"/>
      <c r="G16" s="473"/>
      <c r="H16" s="473"/>
      <c r="I16" s="473"/>
      <c r="J16" s="30"/>
      <c r="K16" s="30"/>
      <c r="L16" s="30"/>
      <c r="M16" s="30"/>
      <c r="O16" s="30"/>
    </row>
    <row r="17" spans="1:15" s="12" customFormat="1" x14ac:dyDescent="0.2">
      <c r="A17" s="471" t="s">
        <v>9</v>
      </c>
      <c r="B17" s="471"/>
      <c r="C17" s="471" t="s">
        <v>10</v>
      </c>
      <c r="D17" s="471"/>
      <c r="E17" s="471" t="s">
        <v>11</v>
      </c>
      <c r="F17" s="471"/>
      <c r="G17" s="471"/>
      <c r="H17" s="471"/>
      <c r="I17" s="471"/>
      <c r="J17" s="30"/>
      <c r="K17" s="30"/>
      <c r="L17" s="30"/>
      <c r="M17" s="30"/>
      <c r="O17" s="30"/>
    </row>
    <row r="18" spans="1:15" s="12" customFormat="1" ht="31.5" customHeight="1" x14ac:dyDescent="0.2">
      <c r="A18" s="496" t="s">
        <v>372</v>
      </c>
      <c r="B18" s="468"/>
      <c r="C18" s="476" t="s">
        <v>368</v>
      </c>
      <c r="D18" s="476"/>
      <c r="E18" s="476">
        <v>3</v>
      </c>
      <c r="F18" s="476"/>
      <c r="G18" s="476"/>
      <c r="H18" s="476"/>
      <c r="I18" s="476"/>
      <c r="J18" s="30"/>
      <c r="K18" s="30"/>
      <c r="L18" s="30"/>
      <c r="M18" s="30"/>
      <c r="O18" s="30"/>
    </row>
    <row r="19" spans="1:15" s="12" customFormat="1" x14ac:dyDescent="0.2">
      <c r="A19" s="125"/>
      <c r="B19" s="130"/>
      <c r="C19" s="130"/>
      <c r="D19" s="130"/>
      <c r="E19" s="130"/>
      <c r="F19" s="130"/>
      <c r="G19" s="130"/>
      <c r="H19" s="125"/>
      <c r="I19" s="182"/>
      <c r="J19" s="30"/>
      <c r="K19" s="30"/>
      <c r="L19" s="30"/>
      <c r="M19" s="30"/>
      <c r="O19" s="30"/>
    </row>
    <row r="20" spans="1:15" s="12" customFormat="1" x14ac:dyDescent="0.2">
      <c r="A20" s="473" t="s">
        <v>330</v>
      </c>
      <c r="B20" s="473"/>
      <c r="C20" s="473"/>
      <c r="D20" s="473"/>
      <c r="E20" s="473"/>
      <c r="F20" s="473"/>
      <c r="G20" s="473"/>
      <c r="H20" s="473"/>
      <c r="I20" s="473"/>
      <c r="J20" s="30"/>
      <c r="K20" s="30"/>
      <c r="L20" s="30"/>
      <c r="M20" s="30"/>
      <c r="O20" s="30"/>
    </row>
    <row r="21" spans="1:15" s="12" customFormat="1" ht="24.75" customHeight="1" x14ac:dyDescent="0.2">
      <c r="A21" s="124">
        <v>1</v>
      </c>
      <c r="B21" s="428" t="s">
        <v>12</v>
      </c>
      <c r="C21" s="428"/>
      <c r="D21" s="428"/>
      <c r="E21" s="428"/>
      <c r="F21" s="428"/>
      <c r="G21" s="428"/>
      <c r="H21" s="468" t="str">
        <f>A18</f>
        <v>VIGILANTE 44 HORAS SEMANAIS</v>
      </c>
      <c r="I21" s="468"/>
      <c r="J21" s="30"/>
      <c r="K21" s="30"/>
      <c r="L21" s="30"/>
      <c r="M21" s="30"/>
      <c r="O21" s="30"/>
    </row>
    <row r="22" spans="1:15" s="12" customFormat="1" x14ac:dyDescent="0.2">
      <c r="A22" s="124">
        <v>2</v>
      </c>
      <c r="B22" s="428" t="s">
        <v>13</v>
      </c>
      <c r="C22" s="428"/>
      <c r="D22" s="428"/>
      <c r="E22" s="428"/>
      <c r="F22" s="428"/>
      <c r="G22" s="428"/>
      <c r="H22" s="471"/>
      <c r="I22" s="471"/>
      <c r="J22" s="30"/>
      <c r="K22" s="30"/>
      <c r="L22" s="30"/>
      <c r="M22" s="30"/>
      <c r="O22" s="30"/>
    </row>
    <row r="23" spans="1:15" s="12" customFormat="1" x14ac:dyDescent="0.2">
      <c r="A23" s="124">
        <v>3</v>
      </c>
      <c r="B23" s="428" t="s">
        <v>326</v>
      </c>
      <c r="C23" s="428"/>
      <c r="D23" s="428"/>
      <c r="E23" s="428"/>
      <c r="F23" s="428"/>
      <c r="G23" s="428"/>
      <c r="H23" s="485">
        <v>2192.65</v>
      </c>
      <c r="I23" s="485"/>
      <c r="J23" s="30"/>
      <c r="K23" s="132"/>
      <c r="L23" s="30"/>
      <c r="M23" s="30"/>
      <c r="O23" s="30"/>
    </row>
    <row r="24" spans="1:15" s="12" customFormat="1" ht="27" customHeight="1" x14ac:dyDescent="0.2">
      <c r="A24" s="124">
        <v>4</v>
      </c>
      <c r="B24" s="428" t="s">
        <v>14</v>
      </c>
      <c r="C24" s="428"/>
      <c r="D24" s="428"/>
      <c r="E24" s="428"/>
      <c r="F24" s="428"/>
      <c r="G24" s="428"/>
      <c r="H24" s="468" t="str">
        <f>H21</f>
        <v>VIGILANTE 44 HORAS SEMANAIS</v>
      </c>
      <c r="I24" s="468"/>
      <c r="J24" s="30"/>
      <c r="K24" s="30"/>
      <c r="L24" s="30"/>
      <c r="M24" s="30"/>
      <c r="O24" s="30"/>
    </row>
    <row r="25" spans="1:15" s="12" customFormat="1" x14ac:dyDescent="0.2">
      <c r="A25" s="124">
        <v>5</v>
      </c>
      <c r="B25" s="428" t="s">
        <v>15</v>
      </c>
      <c r="C25" s="428"/>
      <c r="D25" s="428"/>
      <c r="E25" s="428"/>
      <c r="F25" s="428"/>
      <c r="G25" s="428"/>
      <c r="H25" s="469">
        <v>43466</v>
      </c>
      <c r="I25" s="469"/>
      <c r="J25" s="30"/>
      <c r="K25" s="30"/>
      <c r="L25" s="30"/>
      <c r="M25" s="30"/>
      <c r="O25" s="30"/>
    </row>
    <row r="26" spans="1:15" s="12" customFormat="1" x14ac:dyDescent="0.2">
      <c r="A26" s="470"/>
      <c r="B26" s="470"/>
      <c r="C26" s="470"/>
      <c r="D26" s="470"/>
      <c r="E26" s="470"/>
      <c r="F26" s="470"/>
      <c r="G26" s="470"/>
      <c r="H26" s="470"/>
      <c r="I26" s="470"/>
      <c r="J26" s="30"/>
      <c r="K26" s="30"/>
      <c r="L26" s="30"/>
      <c r="M26" s="30"/>
      <c r="O26" s="30"/>
    </row>
    <row r="27" spans="1:15" s="12" customFormat="1" x14ac:dyDescent="0.2">
      <c r="A27" s="431" t="s">
        <v>16</v>
      </c>
      <c r="B27" s="431"/>
      <c r="C27" s="431"/>
      <c r="D27" s="431"/>
      <c r="E27" s="431"/>
      <c r="F27" s="431"/>
      <c r="G27" s="431"/>
      <c r="H27" s="431"/>
      <c r="I27" s="431"/>
      <c r="J27" s="30"/>
      <c r="K27" s="30"/>
      <c r="L27" s="30"/>
      <c r="M27" s="30"/>
      <c r="O27" s="30"/>
    </row>
    <row r="28" spans="1:15" s="12" customFormat="1" x14ac:dyDescent="0.2">
      <c r="A28" s="126">
        <v>1</v>
      </c>
      <c r="B28" s="427" t="s">
        <v>17</v>
      </c>
      <c r="C28" s="427"/>
      <c r="D28" s="427"/>
      <c r="E28" s="427"/>
      <c r="F28" s="427"/>
      <c r="G28" s="427"/>
      <c r="H28" s="126" t="s">
        <v>18</v>
      </c>
      <c r="I28" s="150" t="s">
        <v>19</v>
      </c>
      <c r="J28" s="30"/>
      <c r="K28" s="30"/>
      <c r="L28" s="30"/>
      <c r="M28" s="30"/>
      <c r="O28" s="30"/>
    </row>
    <row r="29" spans="1:15" s="12" customFormat="1" x14ac:dyDescent="0.2">
      <c r="A29" s="126" t="s">
        <v>1</v>
      </c>
      <c r="B29" s="428" t="s">
        <v>20</v>
      </c>
      <c r="C29" s="428"/>
      <c r="D29" s="428"/>
      <c r="E29" s="428"/>
      <c r="F29" s="428"/>
      <c r="G29" s="428"/>
      <c r="H29" s="128"/>
      <c r="I29" s="152">
        <f>H23</f>
        <v>2192.65</v>
      </c>
      <c r="J29" s="30"/>
      <c r="K29" s="30"/>
      <c r="L29" s="30"/>
      <c r="M29" s="30"/>
      <c r="O29" s="30"/>
    </row>
    <row r="30" spans="1:15" s="12" customFormat="1" x14ac:dyDescent="0.2">
      <c r="A30" s="126" t="s">
        <v>2</v>
      </c>
      <c r="B30" s="428" t="s">
        <v>459</v>
      </c>
      <c r="C30" s="428"/>
      <c r="D30" s="428"/>
      <c r="E30" s="428"/>
      <c r="F30" s="428"/>
      <c r="G30" s="428"/>
      <c r="H30" s="2">
        <v>0.3</v>
      </c>
      <c r="I30" s="152">
        <f>I29*H30</f>
        <v>657.79499999999996</v>
      </c>
      <c r="J30" s="30"/>
      <c r="K30" s="30"/>
      <c r="L30" s="30"/>
      <c r="M30" s="30"/>
      <c r="O30" s="30"/>
    </row>
    <row r="31" spans="1:15" s="12" customFormat="1" x14ac:dyDescent="0.2">
      <c r="A31" s="126" t="s">
        <v>4</v>
      </c>
      <c r="B31" s="428" t="s">
        <v>21</v>
      </c>
      <c r="C31" s="428"/>
      <c r="D31" s="428"/>
      <c r="E31" s="428"/>
      <c r="F31" s="428"/>
      <c r="G31" s="428"/>
      <c r="H31" s="2"/>
      <c r="I31" s="152">
        <f>H31*I29</f>
        <v>0</v>
      </c>
      <c r="J31" s="30"/>
      <c r="K31" s="30"/>
      <c r="L31" s="30"/>
      <c r="M31" s="30"/>
      <c r="O31" s="30"/>
    </row>
    <row r="32" spans="1:15" s="12" customFormat="1" x14ac:dyDescent="0.2">
      <c r="A32" s="126" t="s">
        <v>6</v>
      </c>
      <c r="B32" s="428" t="s">
        <v>22</v>
      </c>
      <c r="C32" s="428"/>
      <c r="D32" s="428"/>
      <c r="E32" s="428"/>
      <c r="F32" s="428"/>
      <c r="G32" s="428"/>
      <c r="H32" s="2"/>
      <c r="I32" s="152">
        <v>0</v>
      </c>
      <c r="J32" s="30"/>
      <c r="K32" s="30"/>
      <c r="L32" s="30"/>
      <c r="M32" s="30"/>
      <c r="O32" s="30"/>
    </row>
    <row r="33" spans="1:15" s="12" customFormat="1" x14ac:dyDescent="0.2">
      <c r="A33" s="126" t="s">
        <v>23</v>
      </c>
      <c r="B33" s="428" t="s">
        <v>24</v>
      </c>
      <c r="C33" s="428"/>
      <c r="D33" s="428"/>
      <c r="E33" s="428"/>
      <c r="F33" s="428"/>
      <c r="G33" s="428"/>
      <c r="H33" s="2"/>
      <c r="I33" s="152">
        <v>0</v>
      </c>
      <c r="J33" s="30"/>
      <c r="K33" s="30"/>
      <c r="L33" s="30"/>
      <c r="M33" s="30"/>
      <c r="O33" s="30"/>
    </row>
    <row r="34" spans="1:15" s="12" customFormat="1" x14ac:dyDescent="0.2">
      <c r="A34" s="126" t="s">
        <v>25</v>
      </c>
      <c r="B34" s="428" t="s">
        <v>26</v>
      </c>
      <c r="C34" s="428"/>
      <c r="D34" s="428"/>
      <c r="E34" s="428"/>
      <c r="F34" s="428"/>
      <c r="G34" s="428"/>
      <c r="H34" s="2"/>
      <c r="I34" s="152">
        <v>0</v>
      </c>
      <c r="J34" s="30"/>
      <c r="K34" s="30"/>
      <c r="L34" s="30"/>
      <c r="M34" s="30"/>
      <c r="O34" s="30"/>
    </row>
    <row r="35" spans="1:15" s="12" customFormat="1" x14ac:dyDescent="0.2">
      <c r="A35" s="427" t="s">
        <v>27</v>
      </c>
      <c r="B35" s="427"/>
      <c r="C35" s="427"/>
      <c r="D35" s="427"/>
      <c r="E35" s="427"/>
      <c r="F35" s="427"/>
      <c r="G35" s="427"/>
      <c r="H35" s="427"/>
      <c r="I35" s="154">
        <f>TRUNC(SUM(I29:I34),2)</f>
        <v>2850.44</v>
      </c>
      <c r="J35" s="30"/>
      <c r="K35" s="30"/>
      <c r="L35" s="30"/>
      <c r="M35" s="30"/>
      <c r="O35" s="30"/>
    </row>
    <row r="36" spans="1:15" s="12" customFormat="1" x14ac:dyDescent="0.2">
      <c r="A36" s="463"/>
      <c r="B36" s="463"/>
      <c r="C36" s="463"/>
      <c r="D36" s="463"/>
      <c r="E36" s="463"/>
      <c r="F36" s="463"/>
      <c r="G36" s="463"/>
      <c r="H36" s="463"/>
      <c r="I36" s="463"/>
      <c r="J36" s="30"/>
      <c r="K36" s="30"/>
      <c r="L36" s="30"/>
      <c r="M36" s="30"/>
      <c r="O36" s="30"/>
    </row>
    <row r="37" spans="1:15" s="12" customFormat="1" x14ac:dyDescent="0.2">
      <c r="A37" s="431" t="s">
        <v>28</v>
      </c>
      <c r="B37" s="431"/>
      <c r="C37" s="431"/>
      <c r="D37" s="431"/>
      <c r="E37" s="431"/>
      <c r="F37" s="431"/>
      <c r="G37" s="431"/>
      <c r="H37" s="431"/>
      <c r="I37" s="431"/>
      <c r="J37" s="3"/>
      <c r="K37" s="30"/>
      <c r="L37" s="30"/>
      <c r="M37" s="30"/>
      <c r="O37" s="30"/>
    </row>
    <row r="38" spans="1:15" s="12" customFormat="1" x14ac:dyDescent="0.2">
      <c r="A38" s="427" t="s">
        <v>29</v>
      </c>
      <c r="B38" s="427"/>
      <c r="C38" s="427"/>
      <c r="D38" s="427"/>
      <c r="E38" s="427"/>
      <c r="F38" s="427"/>
      <c r="G38" s="427"/>
      <c r="H38" s="126" t="s">
        <v>18</v>
      </c>
      <c r="I38" s="150" t="s">
        <v>19</v>
      </c>
      <c r="J38" s="3"/>
      <c r="K38" s="30"/>
      <c r="L38" s="30"/>
      <c r="M38" s="30"/>
      <c r="O38" s="30"/>
    </row>
    <row r="39" spans="1:15" s="12" customFormat="1" x14ac:dyDescent="0.2">
      <c r="A39" s="126" t="s">
        <v>1</v>
      </c>
      <c r="B39" s="428" t="s">
        <v>30</v>
      </c>
      <c r="C39" s="428"/>
      <c r="D39" s="428"/>
      <c r="E39" s="428"/>
      <c r="F39" s="428"/>
      <c r="G39" s="428"/>
      <c r="H39" s="4">
        <f>1/12</f>
        <v>8.3333333333333329E-2</v>
      </c>
      <c r="I39" s="160">
        <f>$I$35*H39</f>
        <v>237.53666666666666</v>
      </c>
      <c r="J39" s="3"/>
      <c r="K39" s="30"/>
      <c r="L39" s="30"/>
      <c r="M39" s="30"/>
      <c r="O39" s="30"/>
    </row>
    <row r="40" spans="1:15" s="12" customFormat="1" x14ac:dyDescent="0.2">
      <c r="A40" s="126" t="s">
        <v>2</v>
      </c>
      <c r="B40" s="428" t="s">
        <v>31</v>
      </c>
      <c r="C40" s="428"/>
      <c r="D40" s="428"/>
      <c r="E40" s="428"/>
      <c r="F40" s="428"/>
      <c r="G40" s="428"/>
      <c r="H40" s="4">
        <v>0.121</v>
      </c>
      <c r="I40" s="160">
        <f>H40*I35</f>
        <v>344.90323999999998</v>
      </c>
      <c r="J40" s="3"/>
      <c r="K40" s="30"/>
      <c r="L40" s="30"/>
      <c r="M40" s="30"/>
      <c r="O40" s="30"/>
    </row>
    <row r="41" spans="1:15" s="12" customFormat="1" x14ac:dyDescent="0.2">
      <c r="A41" s="511" t="s">
        <v>436</v>
      </c>
      <c r="B41" s="512"/>
      <c r="C41" s="512"/>
      <c r="D41" s="512"/>
      <c r="E41" s="512"/>
      <c r="F41" s="512"/>
      <c r="G41" s="513"/>
      <c r="H41" s="41">
        <f>SUM(H39:H40)</f>
        <v>0.20433333333333331</v>
      </c>
      <c r="I41" s="193">
        <f>SUM(I39:I40)</f>
        <v>582.43990666666662</v>
      </c>
      <c r="J41" s="3"/>
      <c r="K41" s="30"/>
      <c r="L41" s="30"/>
      <c r="M41" s="30"/>
      <c r="O41" s="30"/>
    </row>
    <row r="42" spans="1:15" s="12" customFormat="1" x14ac:dyDescent="0.2">
      <c r="A42" s="310" t="s">
        <v>4</v>
      </c>
      <c r="B42" s="464" t="s">
        <v>394</v>
      </c>
      <c r="C42" s="465"/>
      <c r="D42" s="465"/>
      <c r="E42" s="465"/>
      <c r="F42" s="465"/>
      <c r="G42" s="466"/>
      <c r="H42" s="305">
        <f>(H41)*H58</f>
        <v>8.1324666666666656E-2</v>
      </c>
      <c r="I42" s="311">
        <f>ROUND(((I41)*H58),2)</f>
        <v>231.81</v>
      </c>
      <c r="J42" s="3"/>
      <c r="K42" s="30"/>
      <c r="L42" s="30"/>
      <c r="M42" s="30"/>
      <c r="O42" s="30"/>
    </row>
    <row r="43" spans="1:15" s="12" customFormat="1" x14ac:dyDescent="0.2">
      <c r="A43" s="529" t="s">
        <v>437</v>
      </c>
      <c r="B43" s="530"/>
      <c r="C43" s="530"/>
      <c r="D43" s="530"/>
      <c r="E43" s="530"/>
      <c r="F43" s="530"/>
      <c r="G43" s="531"/>
      <c r="H43" s="41">
        <f>SUM(H41:H42)</f>
        <v>0.28565799999999997</v>
      </c>
      <c r="I43" s="158">
        <f>I41+I42</f>
        <v>814.24990666666667</v>
      </c>
      <c r="J43" s="3"/>
      <c r="K43" s="30"/>
      <c r="L43" s="30"/>
      <c r="M43" s="30"/>
      <c r="O43" s="30"/>
    </row>
    <row r="44" spans="1:15" s="12" customFormat="1" ht="30" hidden="1" customHeight="1" x14ac:dyDescent="0.2">
      <c r="A44" s="449" t="s">
        <v>34</v>
      </c>
      <c r="B44" s="449"/>
      <c r="C44" s="449"/>
      <c r="D44" s="449"/>
      <c r="E44" s="449"/>
      <c r="F44" s="449"/>
      <c r="G44" s="449"/>
      <c r="H44" s="449"/>
      <c r="I44" s="449"/>
      <c r="J44" s="3"/>
      <c r="K44" s="30"/>
      <c r="L44" s="30"/>
      <c r="M44" s="30"/>
      <c r="O44" s="30"/>
    </row>
    <row r="45" spans="1:15" s="12" customFormat="1" ht="39.950000000000003" hidden="1" customHeight="1" x14ac:dyDescent="0.2">
      <c r="A45" s="449" t="s">
        <v>35</v>
      </c>
      <c r="B45" s="449"/>
      <c r="C45" s="449"/>
      <c r="D45" s="449"/>
      <c r="E45" s="449"/>
      <c r="F45" s="449"/>
      <c r="G45" s="449"/>
      <c r="H45" s="449"/>
      <c r="I45" s="449"/>
      <c r="J45" s="3"/>
      <c r="K45" s="30"/>
      <c r="L45" s="30"/>
      <c r="M45" s="30"/>
      <c r="O45" s="30"/>
    </row>
    <row r="46" spans="1:15" s="12" customFormat="1" ht="39.950000000000003" hidden="1" customHeight="1" x14ac:dyDescent="0.2">
      <c r="A46" s="449" t="s">
        <v>36</v>
      </c>
      <c r="B46" s="449"/>
      <c r="C46" s="449"/>
      <c r="D46" s="449"/>
      <c r="E46" s="449"/>
      <c r="F46" s="449"/>
      <c r="G46" s="449"/>
      <c r="H46" s="449"/>
      <c r="I46" s="449"/>
      <c r="J46" s="3"/>
      <c r="K46" s="30"/>
      <c r="L46" s="30"/>
      <c r="M46" s="30"/>
      <c r="O46" s="30"/>
    </row>
    <row r="47" spans="1:15" s="12" customFormat="1" x14ac:dyDescent="0.2">
      <c r="A47" s="457"/>
      <c r="B47" s="457"/>
      <c r="C47" s="457"/>
      <c r="D47" s="457"/>
      <c r="E47" s="457"/>
      <c r="F47" s="457"/>
      <c r="G47" s="457"/>
      <c r="H47" s="457"/>
      <c r="I47" s="457"/>
      <c r="J47" s="6"/>
      <c r="K47" s="7"/>
      <c r="L47" s="30"/>
      <c r="M47" s="30"/>
      <c r="O47" s="30"/>
    </row>
    <row r="48" spans="1:15" s="12" customFormat="1" x14ac:dyDescent="0.2">
      <c r="A48" s="451" t="s">
        <v>37</v>
      </c>
      <c r="B48" s="451"/>
      <c r="C48" s="451"/>
      <c r="D48" s="451"/>
      <c r="E48" s="451"/>
      <c r="F48" s="451"/>
      <c r="G48" s="451"/>
      <c r="H48" s="127" t="s">
        <v>18</v>
      </c>
      <c r="I48" s="159" t="s">
        <v>19</v>
      </c>
      <c r="J48" s="3"/>
      <c r="K48" s="30"/>
      <c r="L48" s="30"/>
      <c r="M48" s="30"/>
      <c r="O48" s="30"/>
    </row>
    <row r="49" spans="1:15" s="12" customFormat="1" x14ac:dyDescent="0.2">
      <c r="A49" s="126" t="s">
        <v>1</v>
      </c>
      <c r="B49" s="428" t="s">
        <v>38</v>
      </c>
      <c r="C49" s="428"/>
      <c r="D49" s="428"/>
      <c r="E49" s="428"/>
      <c r="F49" s="428"/>
      <c r="G49" s="428"/>
      <c r="H49" s="4">
        <v>0.2</v>
      </c>
      <c r="I49" s="160">
        <f>($I$35+I42)*H49</f>
        <v>616.45000000000005</v>
      </c>
      <c r="J49" s="3"/>
      <c r="K49" s="30"/>
      <c r="L49" s="30"/>
      <c r="M49" s="30"/>
      <c r="O49" s="30"/>
    </row>
    <row r="50" spans="1:15" s="12" customFormat="1" x14ac:dyDescent="0.2">
      <c r="A50" s="126" t="s">
        <v>2</v>
      </c>
      <c r="B50" s="428" t="s">
        <v>39</v>
      </c>
      <c r="C50" s="428"/>
      <c r="D50" s="428"/>
      <c r="E50" s="428"/>
      <c r="F50" s="428"/>
      <c r="G50" s="428"/>
      <c r="H50" s="4">
        <v>2.5000000000000001E-2</v>
      </c>
      <c r="I50" s="160">
        <f>($I$35+I42)*H50</f>
        <v>77.056250000000006</v>
      </c>
      <c r="J50" s="3"/>
      <c r="K50" s="30"/>
      <c r="L50" s="30"/>
      <c r="M50" s="30"/>
      <c r="O50" s="30"/>
    </row>
    <row r="51" spans="1:15" s="12" customFormat="1" x14ac:dyDescent="0.2">
      <c r="A51" s="126" t="s">
        <v>4</v>
      </c>
      <c r="B51" s="486" t="s">
        <v>40</v>
      </c>
      <c r="C51" s="486"/>
      <c r="D51" s="486"/>
      <c r="E51" s="486"/>
      <c r="F51" s="486"/>
      <c r="G51" s="486"/>
      <c r="H51" s="4">
        <v>0.03</v>
      </c>
      <c r="I51" s="487">
        <f>($I$35+I42)*H51*H52</f>
        <v>184.935</v>
      </c>
      <c r="J51" s="31">
        <f>H51*H52</f>
        <v>0.06</v>
      </c>
      <c r="K51" s="8"/>
      <c r="L51" s="30"/>
      <c r="M51" s="30"/>
      <c r="O51" s="30"/>
    </row>
    <row r="52" spans="1:15" s="12" customFormat="1" x14ac:dyDescent="0.2">
      <c r="A52" s="126"/>
      <c r="B52" s="486"/>
      <c r="C52" s="486"/>
      <c r="D52" s="486"/>
      <c r="E52" s="486"/>
      <c r="F52" s="486"/>
      <c r="G52" s="486"/>
      <c r="H52" s="10">
        <v>2</v>
      </c>
      <c r="I52" s="487"/>
      <c r="J52" s="3"/>
      <c r="K52" s="8"/>
      <c r="L52" s="30"/>
      <c r="M52" s="30"/>
      <c r="O52" s="30"/>
    </row>
    <row r="53" spans="1:15" s="12" customFormat="1" x14ac:dyDescent="0.2">
      <c r="A53" s="126" t="s">
        <v>6</v>
      </c>
      <c r="B53" s="428" t="s">
        <v>41</v>
      </c>
      <c r="C53" s="428"/>
      <c r="D53" s="428"/>
      <c r="E53" s="428"/>
      <c r="F53" s="428"/>
      <c r="G53" s="428"/>
      <c r="H53" s="4">
        <v>1.4999999999999999E-2</v>
      </c>
      <c r="I53" s="160">
        <f>($I$35+I42)*H53</f>
        <v>46.233750000000001</v>
      </c>
      <c r="J53" s="3"/>
      <c r="K53" s="30"/>
      <c r="L53" s="30"/>
      <c r="M53" s="30"/>
      <c r="O53" s="30"/>
    </row>
    <row r="54" spans="1:15" s="12" customFormat="1" x14ac:dyDescent="0.2">
      <c r="A54" s="126" t="s">
        <v>23</v>
      </c>
      <c r="B54" s="428" t="s">
        <v>42</v>
      </c>
      <c r="C54" s="428"/>
      <c r="D54" s="428"/>
      <c r="E54" s="428"/>
      <c r="F54" s="428"/>
      <c r="G54" s="428"/>
      <c r="H54" s="4">
        <v>0.01</v>
      </c>
      <c r="I54" s="160">
        <f>($I$35+I42)*H54</f>
        <v>30.822500000000002</v>
      </c>
      <c r="J54" s="3"/>
      <c r="K54" s="30"/>
      <c r="L54" s="30"/>
      <c r="M54" s="30"/>
      <c r="O54" s="30"/>
    </row>
    <row r="55" spans="1:15" s="12" customFormat="1" x14ac:dyDescent="0.2">
      <c r="A55" s="126" t="s">
        <v>25</v>
      </c>
      <c r="B55" s="428" t="s">
        <v>43</v>
      </c>
      <c r="C55" s="428"/>
      <c r="D55" s="428"/>
      <c r="E55" s="428"/>
      <c r="F55" s="428"/>
      <c r="G55" s="428"/>
      <c r="H55" s="4">
        <v>6.0000000000000001E-3</v>
      </c>
      <c r="I55" s="160">
        <f>($I$35+I42)*H55</f>
        <v>18.493500000000001</v>
      </c>
      <c r="J55" s="3"/>
      <c r="K55" s="30"/>
      <c r="L55" s="30"/>
      <c r="M55" s="30"/>
      <c r="O55" s="30"/>
    </row>
    <row r="56" spans="1:15" s="12" customFormat="1" x14ac:dyDescent="0.2">
      <c r="A56" s="126" t="s">
        <v>44</v>
      </c>
      <c r="B56" s="428" t="s">
        <v>45</v>
      </c>
      <c r="C56" s="428"/>
      <c r="D56" s="428"/>
      <c r="E56" s="428"/>
      <c r="F56" s="428"/>
      <c r="G56" s="428"/>
      <c r="H56" s="4">
        <v>2E-3</v>
      </c>
      <c r="I56" s="160">
        <f>($I$35+I42)*H56</f>
        <v>6.1645000000000003</v>
      </c>
      <c r="J56" s="3"/>
      <c r="K56" s="30"/>
      <c r="L56" s="30"/>
      <c r="M56" s="30"/>
      <c r="O56" s="30"/>
    </row>
    <row r="57" spans="1:15" s="12" customFormat="1" x14ac:dyDescent="0.2">
      <c r="A57" s="126" t="s">
        <v>46</v>
      </c>
      <c r="B57" s="428" t="s">
        <v>47</v>
      </c>
      <c r="C57" s="428"/>
      <c r="D57" s="428"/>
      <c r="E57" s="428"/>
      <c r="F57" s="428"/>
      <c r="G57" s="428"/>
      <c r="H57" s="4">
        <v>0.08</v>
      </c>
      <c r="I57" s="160">
        <f>($I$35+I42)*H57</f>
        <v>246.58</v>
      </c>
      <c r="J57" s="3"/>
      <c r="K57" s="30"/>
      <c r="L57" s="30"/>
      <c r="M57" s="30"/>
      <c r="O57" s="30"/>
    </row>
    <row r="58" spans="1:15" s="12" customFormat="1" x14ac:dyDescent="0.2">
      <c r="A58" s="427" t="s">
        <v>48</v>
      </c>
      <c r="B58" s="427"/>
      <c r="C58" s="427"/>
      <c r="D58" s="427"/>
      <c r="E58" s="427"/>
      <c r="F58" s="427"/>
      <c r="G58" s="427"/>
      <c r="H58" s="5">
        <f>SUM(H49:H50,H53:H57)+J51</f>
        <v>0.39800000000000002</v>
      </c>
      <c r="I58" s="154">
        <f>SUM(I49:I57)</f>
        <v>1226.7355</v>
      </c>
      <c r="J58" s="3"/>
      <c r="K58" s="30"/>
      <c r="L58" s="30"/>
      <c r="M58" s="30"/>
      <c r="O58" s="30"/>
    </row>
    <row r="59" spans="1:15" s="12" customFormat="1" x14ac:dyDescent="0.2">
      <c r="A59" s="450"/>
      <c r="B59" s="450"/>
      <c r="C59" s="450"/>
      <c r="D59" s="450"/>
      <c r="E59" s="450"/>
      <c r="F59" s="450"/>
      <c r="G59" s="450"/>
      <c r="H59" s="450"/>
      <c r="I59" s="450"/>
      <c r="J59" s="3"/>
      <c r="K59" s="30"/>
      <c r="L59" s="30"/>
      <c r="M59" s="30"/>
      <c r="O59" s="30"/>
    </row>
    <row r="60" spans="1:15" s="12" customFormat="1" x14ac:dyDescent="0.2">
      <c r="A60" s="451" t="s">
        <v>49</v>
      </c>
      <c r="B60" s="451"/>
      <c r="C60" s="451"/>
      <c r="D60" s="451"/>
      <c r="E60" s="451"/>
      <c r="F60" s="451"/>
      <c r="G60" s="451"/>
      <c r="H60" s="9" t="s">
        <v>50</v>
      </c>
      <c r="I60" s="159" t="s">
        <v>19</v>
      </c>
      <c r="J60" s="3"/>
      <c r="K60" s="30"/>
      <c r="L60" s="30"/>
      <c r="M60" s="30"/>
      <c r="O60" s="30"/>
    </row>
    <row r="61" spans="1:15" s="12" customFormat="1" x14ac:dyDescent="0.2">
      <c r="A61" s="126" t="s">
        <v>1</v>
      </c>
      <c r="B61" s="435" t="s">
        <v>51</v>
      </c>
      <c r="C61" s="435"/>
      <c r="D61" s="435"/>
      <c r="E61" s="435"/>
      <c r="F61" s="435"/>
      <c r="G61" s="435"/>
      <c r="H61" s="10">
        <v>5.5</v>
      </c>
      <c r="I61" s="152">
        <f>' V.A_VT'!G21</f>
        <v>110.441</v>
      </c>
      <c r="J61" s="3"/>
      <c r="K61" s="30"/>
      <c r="L61" s="30"/>
      <c r="M61" s="30"/>
      <c r="O61" s="30"/>
    </row>
    <row r="62" spans="1:15" s="12" customFormat="1" x14ac:dyDescent="0.2">
      <c r="A62" s="126" t="s">
        <v>2</v>
      </c>
      <c r="B62" s="435" t="s">
        <v>52</v>
      </c>
      <c r="C62" s="435"/>
      <c r="D62" s="435"/>
      <c r="E62" s="435"/>
      <c r="F62" s="435"/>
      <c r="G62" s="435"/>
      <c r="H62" s="10">
        <v>35.770000000000003</v>
      </c>
      <c r="I62" s="152">
        <f>' V.A_VT'!G30</f>
        <v>808.5</v>
      </c>
      <c r="J62" s="3"/>
      <c r="K62" s="30"/>
      <c r="L62" s="30"/>
      <c r="M62" s="30"/>
      <c r="O62" s="30"/>
    </row>
    <row r="63" spans="1:15" s="12" customFormat="1" x14ac:dyDescent="0.2">
      <c r="A63" s="126" t="s">
        <v>4</v>
      </c>
      <c r="B63" s="452" t="s">
        <v>314</v>
      </c>
      <c r="C63" s="453"/>
      <c r="D63" s="453"/>
      <c r="E63" s="453"/>
      <c r="F63" s="453"/>
      <c r="G63" s="454"/>
      <c r="H63" s="283"/>
      <c r="I63" s="152">
        <v>0</v>
      </c>
      <c r="J63" s="3"/>
      <c r="K63" s="30"/>
      <c r="L63" s="30"/>
      <c r="M63" s="30"/>
      <c r="O63" s="30"/>
    </row>
    <row r="64" spans="1:15" s="12" customFormat="1" x14ac:dyDescent="0.2">
      <c r="A64" s="126" t="s">
        <v>6</v>
      </c>
      <c r="B64" s="435" t="s">
        <v>211</v>
      </c>
      <c r="C64" s="435"/>
      <c r="D64" s="435"/>
      <c r="E64" s="435"/>
      <c r="F64" s="435"/>
      <c r="G64" s="435"/>
      <c r="H64" s="283"/>
      <c r="I64" s="152">
        <v>0</v>
      </c>
      <c r="J64" s="3"/>
      <c r="K64" s="30"/>
      <c r="L64" s="30"/>
      <c r="M64" s="30"/>
      <c r="O64" s="30"/>
    </row>
    <row r="65" spans="1:18" s="12" customFormat="1" x14ac:dyDescent="0.2">
      <c r="A65" s="126" t="s">
        <v>23</v>
      </c>
      <c r="B65" s="428" t="s">
        <v>311</v>
      </c>
      <c r="C65" s="428"/>
      <c r="D65" s="428"/>
      <c r="E65" s="428"/>
      <c r="F65" s="428"/>
      <c r="G65" s="428"/>
      <c r="H65" s="10"/>
      <c r="I65" s="152"/>
      <c r="J65" s="3"/>
      <c r="K65" s="30"/>
      <c r="L65" s="30"/>
      <c r="M65" s="30"/>
      <c r="O65" s="30"/>
    </row>
    <row r="66" spans="1:18" s="12" customFormat="1" x14ac:dyDescent="0.2">
      <c r="A66" s="126" t="s">
        <v>25</v>
      </c>
      <c r="B66" s="435" t="s">
        <v>26</v>
      </c>
      <c r="C66" s="435"/>
      <c r="D66" s="435"/>
      <c r="E66" s="435"/>
      <c r="F66" s="435"/>
      <c r="G66" s="435"/>
      <c r="H66" s="10"/>
      <c r="I66" s="152"/>
      <c r="J66" s="3"/>
      <c r="K66" s="30"/>
      <c r="L66" s="30"/>
      <c r="M66" s="30"/>
      <c r="O66" s="30"/>
    </row>
    <row r="67" spans="1:18" s="12" customFormat="1" x14ac:dyDescent="0.2">
      <c r="A67" s="427" t="s">
        <v>54</v>
      </c>
      <c r="B67" s="427"/>
      <c r="C67" s="427"/>
      <c r="D67" s="427"/>
      <c r="E67" s="427"/>
      <c r="F67" s="427"/>
      <c r="G67" s="427"/>
      <c r="H67" s="427"/>
      <c r="I67" s="158">
        <f>SUM(I61:I66)</f>
        <v>918.94100000000003</v>
      </c>
      <c r="J67" s="3"/>
      <c r="K67" s="30"/>
      <c r="L67" s="30"/>
      <c r="M67" s="30"/>
      <c r="O67" s="30"/>
    </row>
    <row r="68" spans="1:18" s="12" customFormat="1" ht="30" hidden="1" customHeight="1" x14ac:dyDescent="0.2">
      <c r="A68" s="448" t="s">
        <v>55</v>
      </c>
      <c r="B68" s="448"/>
      <c r="C68" s="448"/>
      <c r="D68" s="448"/>
      <c r="E68" s="448"/>
      <c r="F68" s="448"/>
      <c r="G68" s="448"/>
      <c r="H68" s="448"/>
      <c r="I68" s="448"/>
      <c r="J68" s="3"/>
      <c r="K68" s="30"/>
      <c r="L68" s="30"/>
      <c r="M68" s="30"/>
      <c r="O68" s="30"/>
    </row>
    <row r="69" spans="1:18" s="12" customFormat="1" ht="30" hidden="1" customHeight="1" x14ac:dyDescent="0.2">
      <c r="A69" s="449" t="s">
        <v>56</v>
      </c>
      <c r="B69" s="449"/>
      <c r="C69" s="449"/>
      <c r="D69" s="449"/>
      <c r="E69" s="449"/>
      <c r="F69" s="449"/>
      <c r="G69" s="449"/>
      <c r="H69" s="449"/>
      <c r="I69" s="449"/>
      <c r="J69" s="443" t="s">
        <v>128</v>
      </c>
      <c r="K69" s="444"/>
      <c r="L69" s="444"/>
      <c r="M69" s="444"/>
      <c r="N69" s="444"/>
      <c r="O69" s="444"/>
      <c r="P69" s="444"/>
      <c r="Q69" s="444"/>
      <c r="R69" s="444"/>
    </row>
    <row r="70" spans="1:18" s="12" customFormat="1" ht="30" hidden="1" customHeight="1" x14ac:dyDescent="0.2">
      <c r="A70" s="445" t="s">
        <v>57</v>
      </c>
      <c r="B70" s="445"/>
      <c r="C70" s="445"/>
      <c r="D70" s="445"/>
      <c r="E70" s="445"/>
      <c r="F70" s="445"/>
      <c r="G70" s="445"/>
      <c r="H70" s="445"/>
      <c r="I70" s="445"/>
      <c r="J70" s="3"/>
      <c r="K70" s="30"/>
      <c r="L70" s="30"/>
      <c r="M70" s="30"/>
      <c r="O70" s="30"/>
    </row>
    <row r="71" spans="1:18" s="12" customFormat="1" ht="18.75" hidden="1" customHeight="1" x14ac:dyDescent="0.2">
      <c r="A71" s="446" t="s">
        <v>58</v>
      </c>
      <c r="B71" s="446"/>
      <c r="C71" s="446"/>
      <c r="D71" s="446"/>
      <c r="E71" s="446"/>
      <c r="F71" s="446"/>
      <c r="G71" s="446"/>
      <c r="H71" s="446"/>
      <c r="I71" s="446"/>
      <c r="J71" s="3"/>
      <c r="K71" s="30"/>
      <c r="L71" s="30"/>
      <c r="M71" s="30"/>
      <c r="O71" s="30"/>
    </row>
    <row r="72" spans="1:18" s="12" customFormat="1" x14ac:dyDescent="0.2">
      <c r="A72" s="447"/>
      <c r="B72" s="447"/>
      <c r="C72" s="447"/>
      <c r="D72" s="447"/>
      <c r="E72" s="447"/>
      <c r="F72" s="447"/>
      <c r="G72" s="447"/>
      <c r="H72" s="447"/>
      <c r="I72" s="447"/>
      <c r="J72" s="3"/>
      <c r="K72" s="30"/>
      <c r="L72" s="30"/>
      <c r="M72" s="30"/>
      <c r="O72" s="30"/>
    </row>
    <row r="73" spans="1:18" s="12" customFormat="1" x14ac:dyDescent="0.2">
      <c r="A73" s="431" t="s">
        <v>59</v>
      </c>
      <c r="B73" s="431"/>
      <c r="C73" s="431"/>
      <c r="D73" s="431"/>
      <c r="E73" s="431"/>
      <c r="F73" s="431"/>
      <c r="G73" s="431"/>
      <c r="H73" s="431"/>
      <c r="I73" s="431"/>
      <c r="J73" s="3"/>
      <c r="K73" s="30"/>
      <c r="L73" s="30"/>
      <c r="M73" s="30"/>
      <c r="O73" s="30"/>
    </row>
    <row r="74" spans="1:18" s="12" customFormat="1" x14ac:dyDescent="0.2">
      <c r="A74" s="427" t="s">
        <v>60</v>
      </c>
      <c r="B74" s="427"/>
      <c r="C74" s="427"/>
      <c r="D74" s="427"/>
      <c r="E74" s="427"/>
      <c r="F74" s="427"/>
      <c r="G74" s="427"/>
      <c r="H74" s="427"/>
      <c r="I74" s="150" t="s">
        <v>19</v>
      </c>
      <c r="J74" s="3"/>
      <c r="K74" s="30"/>
      <c r="L74" s="57">
        <f>SUM(I75+I76+I87+I97)/I35</f>
        <v>0.80090982678697553</v>
      </c>
      <c r="M74" s="30"/>
      <c r="O74" s="30"/>
    </row>
    <row r="75" spans="1:18" s="12" customFormat="1" x14ac:dyDescent="0.2">
      <c r="A75" s="126" t="s">
        <v>61</v>
      </c>
      <c r="B75" s="428" t="s">
        <v>62</v>
      </c>
      <c r="C75" s="428"/>
      <c r="D75" s="428"/>
      <c r="E75" s="428"/>
      <c r="F75" s="428"/>
      <c r="G75" s="428"/>
      <c r="H75" s="428"/>
      <c r="I75" s="152">
        <f>I43</f>
        <v>814.24990666666667</v>
      </c>
      <c r="J75" s="3"/>
      <c r="K75" s="30"/>
      <c r="L75" s="30"/>
      <c r="M75" s="30"/>
      <c r="O75" s="30"/>
    </row>
    <row r="76" spans="1:18" s="12" customFormat="1" x14ac:dyDescent="0.2">
      <c r="A76" s="126" t="s">
        <v>63</v>
      </c>
      <c r="B76" s="428" t="s">
        <v>64</v>
      </c>
      <c r="C76" s="428"/>
      <c r="D76" s="428"/>
      <c r="E76" s="428"/>
      <c r="F76" s="428"/>
      <c r="G76" s="428"/>
      <c r="H76" s="428"/>
      <c r="I76" s="152">
        <f>I58</f>
        <v>1226.7355</v>
      </c>
      <c r="J76" s="3"/>
      <c r="K76" s="30"/>
      <c r="L76" s="30"/>
      <c r="M76" s="30"/>
      <c r="O76" s="30"/>
    </row>
    <row r="77" spans="1:18" s="12" customFormat="1" x14ac:dyDescent="0.2">
      <c r="A77" s="126" t="s">
        <v>65</v>
      </c>
      <c r="B77" s="428" t="s">
        <v>66</v>
      </c>
      <c r="C77" s="428"/>
      <c r="D77" s="428"/>
      <c r="E77" s="428"/>
      <c r="F77" s="428"/>
      <c r="G77" s="428"/>
      <c r="H77" s="428"/>
      <c r="I77" s="152">
        <f>I67</f>
        <v>918.94100000000003</v>
      </c>
      <c r="J77" s="3"/>
      <c r="K77" s="30"/>
      <c r="L77" s="30"/>
      <c r="M77" s="30"/>
      <c r="O77" s="30"/>
    </row>
    <row r="78" spans="1:18" s="12" customFormat="1" x14ac:dyDescent="0.2">
      <c r="A78" s="427" t="s">
        <v>67</v>
      </c>
      <c r="B78" s="427"/>
      <c r="C78" s="427"/>
      <c r="D78" s="427"/>
      <c r="E78" s="427"/>
      <c r="F78" s="427"/>
      <c r="G78" s="427"/>
      <c r="H78" s="427"/>
      <c r="I78" s="154">
        <f>TRUNC(SUM(I75:I77),2)</f>
        <v>2959.92</v>
      </c>
      <c r="J78" s="3"/>
      <c r="K78" s="30"/>
      <c r="L78" s="30"/>
      <c r="M78" s="30"/>
      <c r="O78" s="30"/>
    </row>
    <row r="79" spans="1:18" s="12" customFormat="1" x14ac:dyDescent="0.2">
      <c r="A79" s="11"/>
      <c r="B79" s="11"/>
      <c r="C79" s="11"/>
      <c r="D79" s="11"/>
      <c r="E79" s="11"/>
      <c r="F79" s="11"/>
      <c r="G79" s="11"/>
      <c r="H79" s="11"/>
      <c r="I79" s="164"/>
      <c r="J79" s="3"/>
      <c r="K79" s="30"/>
      <c r="L79" s="30"/>
      <c r="M79" s="30"/>
      <c r="O79" s="30"/>
    </row>
    <row r="80" spans="1:18" s="12" customFormat="1" x14ac:dyDescent="0.2">
      <c r="A80" s="431" t="s">
        <v>68</v>
      </c>
      <c r="B80" s="431"/>
      <c r="C80" s="431"/>
      <c r="D80" s="431"/>
      <c r="E80" s="431"/>
      <c r="F80" s="431"/>
      <c r="G80" s="431"/>
      <c r="H80" s="431"/>
      <c r="I80" s="431"/>
      <c r="J80" s="3"/>
      <c r="K80" s="30"/>
      <c r="L80" s="30"/>
      <c r="M80" s="30"/>
      <c r="O80" s="30"/>
    </row>
    <row r="81" spans="1:15" s="12" customFormat="1" x14ac:dyDescent="0.2">
      <c r="A81" s="126">
        <v>3</v>
      </c>
      <c r="B81" s="427" t="s">
        <v>69</v>
      </c>
      <c r="C81" s="427"/>
      <c r="D81" s="427"/>
      <c r="E81" s="427"/>
      <c r="F81" s="427"/>
      <c r="G81" s="427"/>
      <c r="H81" s="126" t="s">
        <v>18</v>
      </c>
      <c r="I81" s="150" t="s">
        <v>19</v>
      </c>
      <c r="J81" s="3"/>
      <c r="K81" s="30"/>
      <c r="L81" s="30"/>
      <c r="M81" s="30"/>
      <c r="O81" s="30"/>
    </row>
    <row r="82" spans="1:15" s="12" customFormat="1" x14ac:dyDescent="0.2">
      <c r="A82" s="411" t="s">
        <v>1</v>
      </c>
      <c r="B82" s="452" t="s">
        <v>70</v>
      </c>
      <c r="C82" s="453"/>
      <c r="D82" s="453"/>
      <c r="E82" s="453"/>
      <c r="F82" s="453"/>
      <c r="G82" s="454"/>
      <c r="H82" s="4">
        <v>4.5999999999999999E-3</v>
      </c>
      <c r="I82" s="152">
        <f t="shared" ref="I82:I86" si="0">$I$35*H82</f>
        <v>13.112024</v>
      </c>
      <c r="J82" s="3"/>
      <c r="K82" s="30"/>
      <c r="L82" s="30"/>
      <c r="M82" s="30"/>
      <c r="O82" s="30"/>
    </row>
    <row r="83" spans="1:15" s="12" customFormat="1" x14ac:dyDescent="0.2">
      <c r="A83" s="411" t="s">
        <v>2</v>
      </c>
      <c r="B83" s="452" t="s">
        <v>71</v>
      </c>
      <c r="C83" s="453"/>
      <c r="D83" s="453"/>
      <c r="E83" s="453"/>
      <c r="F83" s="453"/>
      <c r="G83" s="454"/>
      <c r="H83" s="4">
        <f>H82*0.08</f>
        <v>3.68E-4</v>
      </c>
      <c r="I83" s="152">
        <f t="shared" si="0"/>
        <v>1.04896192</v>
      </c>
      <c r="J83" s="3"/>
      <c r="K83" s="30"/>
      <c r="L83" s="30"/>
      <c r="M83" s="30"/>
      <c r="O83" s="30"/>
    </row>
    <row r="84" spans="1:15" s="12" customFormat="1" x14ac:dyDescent="0.2">
      <c r="A84" s="411" t="s">
        <v>4</v>
      </c>
      <c r="B84" s="452" t="s">
        <v>72</v>
      </c>
      <c r="C84" s="453"/>
      <c r="D84" s="453"/>
      <c r="E84" s="453"/>
      <c r="F84" s="453"/>
      <c r="G84" s="454"/>
      <c r="H84" s="4">
        <v>1.9400000000000001E-2</v>
      </c>
      <c r="I84" s="152">
        <f t="shared" si="0"/>
        <v>55.298536000000006</v>
      </c>
      <c r="L84" s="57"/>
    </row>
    <row r="85" spans="1:15" s="12" customFormat="1" ht="12.75" customHeight="1" x14ac:dyDescent="0.2">
      <c r="A85" s="411" t="s">
        <v>6</v>
      </c>
      <c r="B85" s="452" t="s">
        <v>73</v>
      </c>
      <c r="C85" s="453"/>
      <c r="D85" s="453"/>
      <c r="E85" s="453"/>
      <c r="F85" s="453"/>
      <c r="G85" s="454"/>
      <c r="H85" s="13">
        <f>H84*H58</f>
        <v>7.721200000000001E-3</v>
      </c>
      <c r="I85" s="152">
        <f t="shared" si="0"/>
        <v>22.008817328000003</v>
      </c>
      <c r="J85" s="3"/>
      <c r="K85" s="14"/>
    </row>
    <row r="86" spans="1:15" s="12" customFormat="1" ht="47.25" customHeight="1" x14ac:dyDescent="0.2">
      <c r="A86" s="413" t="s">
        <v>23</v>
      </c>
      <c r="B86" s="442" t="s">
        <v>474</v>
      </c>
      <c r="C86" s="442"/>
      <c r="D86" s="442"/>
      <c r="E86" s="442"/>
      <c r="F86" s="442"/>
      <c r="G86" s="442"/>
      <c r="H86" s="414">
        <v>0.04</v>
      </c>
      <c r="I86" s="416">
        <f t="shared" si="0"/>
        <v>114.0176</v>
      </c>
      <c r="J86" s="3"/>
      <c r="K86" s="30"/>
    </row>
    <row r="87" spans="1:15" s="12" customFormat="1" x14ac:dyDescent="0.2">
      <c r="A87" s="427" t="s">
        <v>74</v>
      </c>
      <c r="B87" s="427"/>
      <c r="C87" s="427"/>
      <c r="D87" s="427"/>
      <c r="E87" s="427"/>
      <c r="F87" s="427"/>
      <c r="G87" s="427"/>
      <c r="H87" s="5">
        <f>TRUNC(SUM(H82:H86),4)</f>
        <v>7.1999999999999995E-2</v>
      </c>
      <c r="I87" s="154">
        <f>TRUNC(SUM(I82:I86),2)</f>
        <v>205.48</v>
      </c>
      <c r="J87" s="3"/>
      <c r="K87" s="30"/>
    </row>
    <row r="88" spans="1:15" s="12" customFormat="1" x14ac:dyDescent="0.2">
      <c r="A88" s="441"/>
      <c r="B88" s="441"/>
      <c r="C88" s="441"/>
      <c r="D88" s="441"/>
      <c r="E88" s="441"/>
      <c r="F88" s="441"/>
      <c r="G88" s="441"/>
      <c r="H88" s="441"/>
      <c r="I88" s="441"/>
      <c r="J88" s="3"/>
      <c r="K88" s="30"/>
    </row>
    <row r="89" spans="1:15" s="12" customFormat="1" x14ac:dyDescent="0.2">
      <c r="A89" s="431" t="s">
        <v>75</v>
      </c>
      <c r="B89" s="431"/>
      <c r="C89" s="431"/>
      <c r="D89" s="431"/>
      <c r="E89" s="431"/>
      <c r="F89" s="431"/>
      <c r="G89" s="431"/>
      <c r="H89" s="431"/>
      <c r="I89" s="431"/>
      <c r="J89" s="3"/>
      <c r="K89" s="30"/>
    </row>
    <row r="90" spans="1:15" s="12" customFormat="1" x14ac:dyDescent="0.2">
      <c r="A90" s="437" t="s">
        <v>76</v>
      </c>
      <c r="B90" s="437"/>
      <c r="C90" s="437"/>
      <c r="D90" s="437"/>
      <c r="E90" s="437"/>
      <c r="F90" s="437"/>
      <c r="G90" s="437"/>
      <c r="H90" s="129" t="s">
        <v>18</v>
      </c>
      <c r="I90" s="166" t="s">
        <v>19</v>
      </c>
      <c r="J90" s="3"/>
      <c r="K90" s="30"/>
    </row>
    <row r="91" spans="1:15" s="12" customFormat="1" x14ac:dyDescent="0.2">
      <c r="A91" s="126" t="s">
        <v>1</v>
      </c>
      <c r="B91" s="428" t="s">
        <v>340</v>
      </c>
      <c r="C91" s="428"/>
      <c r="D91" s="428"/>
      <c r="E91" s="428"/>
      <c r="F91" s="428"/>
      <c r="G91" s="428"/>
      <c r="H91" s="4">
        <v>9.2999999999999992E-3</v>
      </c>
      <c r="I91" s="152">
        <f t="shared" ref="I91:I96" si="1">$I$35*H91</f>
        <v>26.509091999999999</v>
      </c>
      <c r="J91" s="3"/>
      <c r="K91" s="30"/>
    </row>
    <row r="92" spans="1:15" s="12" customFormat="1" x14ac:dyDescent="0.2">
      <c r="A92" s="126" t="s">
        <v>2</v>
      </c>
      <c r="B92" s="428" t="s">
        <v>341</v>
      </c>
      <c r="C92" s="428"/>
      <c r="D92" s="428"/>
      <c r="E92" s="428"/>
      <c r="F92" s="428"/>
      <c r="G92" s="428"/>
      <c r="H92" s="4">
        <v>2.8E-3</v>
      </c>
      <c r="I92" s="152">
        <f>$I$35*H92</f>
        <v>7.9812320000000003</v>
      </c>
      <c r="J92" s="15"/>
      <c r="K92" s="30"/>
    </row>
    <row r="93" spans="1:15" s="12" customFormat="1" x14ac:dyDescent="0.2">
      <c r="A93" s="126" t="s">
        <v>4</v>
      </c>
      <c r="B93" s="428" t="s">
        <v>342</v>
      </c>
      <c r="C93" s="428"/>
      <c r="D93" s="428"/>
      <c r="E93" s="428"/>
      <c r="F93" s="428"/>
      <c r="G93" s="428"/>
      <c r="H93" s="4">
        <v>2.0000000000000001E-4</v>
      </c>
      <c r="I93" s="152">
        <f>$I$35*H93</f>
        <v>0.57008800000000004</v>
      </c>
      <c r="J93" s="15"/>
      <c r="K93" s="16"/>
    </row>
    <row r="94" spans="1:15" s="12" customFormat="1" x14ac:dyDescent="0.2">
      <c r="A94" s="126" t="s">
        <v>6</v>
      </c>
      <c r="B94" s="428" t="s">
        <v>343</v>
      </c>
      <c r="C94" s="428"/>
      <c r="D94" s="428"/>
      <c r="E94" s="428"/>
      <c r="F94" s="428"/>
      <c r="G94" s="428"/>
      <c r="H94" s="4">
        <v>2.9999999999999997E-4</v>
      </c>
      <c r="I94" s="152">
        <f t="shared" si="1"/>
        <v>0.85513199999999989</v>
      </c>
      <c r="J94" s="15"/>
      <c r="K94" s="16"/>
    </row>
    <row r="95" spans="1:15" s="12" customFormat="1" x14ac:dyDescent="0.2">
      <c r="A95" s="126" t="s">
        <v>23</v>
      </c>
      <c r="B95" s="428" t="s">
        <v>344</v>
      </c>
      <c r="C95" s="428"/>
      <c r="D95" s="428"/>
      <c r="E95" s="428"/>
      <c r="F95" s="428"/>
      <c r="G95" s="428"/>
      <c r="H95" s="4">
        <v>2.0000000000000001E-4</v>
      </c>
      <c r="I95" s="152">
        <f t="shared" si="1"/>
        <v>0.57008800000000004</v>
      </c>
      <c r="J95" s="30"/>
      <c r="K95" s="17"/>
    </row>
    <row r="96" spans="1:15" s="12" customFormat="1" x14ac:dyDescent="0.2">
      <c r="A96" s="126" t="s">
        <v>25</v>
      </c>
      <c r="B96" s="428" t="s">
        <v>77</v>
      </c>
      <c r="C96" s="428"/>
      <c r="D96" s="428"/>
      <c r="E96" s="428"/>
      <c r="F96" s="428"/>
      <c r="G96" s="428"/>
      <c r="H96" s="4">
        <v>0</v>
      </c>
      <c r="I96" s="152">
        <f t="shared" si="1"/>
        <v>0</v>
      </c>
      <c r="J96" s="18"/>
      <c r="K96" s="30"/>
    </row>
    <row r="97" spans="1:14" s="12" customFormat="1" x14ac:dyDescent="0.2">
      <c r="A97" s="427" t="s">
        <v>78</v>
      </c>
      <c r="B97" s="427"/>
      <c r="C97" s="427"/>
      <c r="D97" s="427"/>
      <c r="E97" s="427"/>
      <c r="F97" s="427"/>
      <c r="G97" s="427"/>
      <c r="H97" s="5">
        <f>TRUNC(SUM(H91:H96),4)</f>
        <v>1.2800000000000001E-2</v>
      </c>
      <c r="I97" s="154">
        <f>TRUNC(SUM(I91:I96),2)</f>
        <v>36.479999999999997</v>
      </c>
      <c r="J97" s="3"/>
      <c r="K97" s="30"/>
    </row>
    <row r="98" spans="1:14" s="12" customFormat="1" x14ac:dyDescent="0.2">
      <c r="A98" s="440"/>
      <c r="B98" s="440"/>
      <c r="C98" s="440"/>
      <c r="D98" s="440"/>
      <c r="E98" s="440"/>
      <c r="F98" s="440"/>
      <c r="G98" s="440"/>
      <c r="H98" s="440"/>
      <c r="I98" s="440"/>
      <c r="J98" s="3"/>
      <c r="K98" s="30"/>
    </row>
    <row r="99" spans="1:14" s="12" customFormat="1" x14ac:dyDescent="0.2">
      <c r="A99" s="437" t="s">
        <v>79</v>
      </c>
      <c r="B99" s="437"/>
      <c r="C99" s="437"/>
      <c r="D99" s="437"/>
      <c r="E99" s="437"/>
      <c r="F99" s="437"/>
      <c r="G99" s="437"/>
      <c r="H99" s="129" t="s">
        <v>18</v>
      </c>
      <c r="I99" s="166" t="s">
        <v>19</v>
      </c>
      <c r="J99" s="3"/>
      <c r="K99" s="30"/>
    </row>
    <row r="100" spans="1:14" s="12" customFormat="1" x14ac:dyDescent="0.2">
      <c r="A100" s="368" t="s">
        <v>1</v>
      </c>
      <c r="B100" s="438" t="s">
        <v>80</v>
      </c>
      <c r="C100" s="438"/>
      <c r="D100" s="438"/>
      <c r="E100" s="438"/>
      <c r="F100" s="438"/>
      <c r="G100" s="438"/>
      <c r="H100" s="277">
        <v>0</v>
      </c>
      <c r="I100" s="369">
        <f>$I$35*H100</f>
        <v>0</v>
      </c>
      <c r="J100" s="3"/>
      <c r="K100" s="30"/>
    </row>
    <row r="101" spans="1:14" s="12" customFormat="1" x14ac:dyDescent="0.2">
      <c r="A101" s="427" t="s">
        <v>81</v>
      </c>
      <c r="B101" s="427"/>
      <c r="C101" s="427"/>
      <c r="D101" s="427"/>
      <c r="E101" s="427"/>
      <c r="F101" s="427"/>
      <c r="G101" s="427"/>
      <c r="H101" s="5">
        <f>TRUNC(SUM(H100),4)</f>
        <v>0</v>
      </c>
      <c r="I101" s="152">
        <f>TRUNC(SUM(I100),2)</f>
        <v>0</v>
      </c>
      <c r="J101" s="3"/>
      <c r="K101" s="30"/>
    </row>
    <row r="102" spans="1:14" s="12" customFormat="1" x14ac:dyDescent="0.2">
      <c r="A102" s="439"/>
      <c r="B102" s="439"/>
      <c r="C102" s="439"/>
      <c r="D102" s="439"/>
      <c r="E102" s="439"/>
      <c r="F102" s="439"/>
      <c r="G102" s="439"/>
      <c r="H102" s="439"/>
      <c r="I102" s="439"/>
      <c r="J102" s="3"/>
      <c r="K102" s="30"/>
    </row>
    <row r="103" spans="1:14" s="12" customFormat="1" x14ac:dyDescent="0.2">
      <c r="A103" s="431" t="s">
        <v>82</v>
      </c>
      <c r="B103" s="431"/>
      <c r="C103" s="431"/>
      <c r="D103" s="431"/>
      <c r="E103" s="431"/>
      <c r="F103" s="431"/>
      <c r="G103" s="431"/>
      <c r="H103" s="431"/>
      <c r="I103" s="431"/>
      <c r="J103" s="3"/>
      <c r="K103" s="30"/>
    </row>
    <row r="104" spans="1:14" s="12" customFormat="1" x14ac:dyDescent="0.2">
      <c r="A104" s="427" t="s">
        <v>83</v>
      </c>
      <c r="B104" s="427"/>
      <c r="C104" s="427"/>
      <c r="D104" s="427"/>
      <c r="E104" s="427"/>
      <c r="F104" s="427"/>
      <c r="G104" s="427"/>
      <c r="H104" s="427"/>
      <c r="I104" s="150" t="s">
        <v>19</v>
      </c>
      <c r="J104" s="3"/>
      <c r="K104" s="30"/>
    </row>
    <row r="105" spans="1:14" s="12" customFormat="1" x14ac:dyDescent="0.2">
      <c r="A105" s="126" t="s">
        <v>84</v>
      </c>
      <c r="B105" s="471" t="s">
        <v>85</v>
      </c>
      <c r="C105" s="471"/>
      <c r="D105" s="471"/>
      <c r="E105" s="471"/>
      <c r="F105" s="471"/>
      <c r="G105" s="471"/>
      <c r="H105" s="471"/>
      <c r="I105" s="152">
        <f>I97</f>
        <v>36.479999999999997</v>
      </c>
      <c r="J105" s="3"/>
      <c r="K105" s="30"/>
    </row>
    <row r="106" spans="1:14" s="12" customFormat="1" x14ac:dyDescent="0.2">
      <c r="A106" s="126" t="s">
        <v>86</v>
      </c>
      <c r="B106" s="471" t="s">
        <v>87</v>
      </c>
      <c r="C106" s="471"/>
      <c r="D106" s="471"/>
      <c r="E106" s="471"/>
      <c r="F106" s="471"/>
      <c r="G106" s="471"/>
      <c r="H106" s="471"/>
      <c r="I106" s="152">
        <f>I101</f>
        <v>0</v>
      </c>
      <c r="J106" s="3"/>
      <c r="K106" s="30"/>
      <c r="M106" s="40"/>
      <c r="N106" s="56">
        <f>M106/2</f>
        <v>0</v>
      </c>
    </row>
    <row r="107" spans="1:14" s="12" customFormat="1" x14ac:dyDescent="0.2">
      <c r="A107" s="427" t="s">
        <v>88</v>
      </c>
      <c r="B107" s="427"/>
      <c r="C107" s="427"/>
      <c r="D107" s="427"/>
      <c r="E107" s="427"/>
      <c r="F107" s="427"/>
      <c r="G107" s="427"/>
      <c r="H107" s="427"/>
      <c r="I107" s="154">
        <f>TRUNC(SUM(I105:I106),2)</f>
        <v>36.479999999999997</v>
      </c>
      <c r="J107" s="3"/>
      <c r="K107" s="30"/>
    </row>
    <row r="108" spans="1:14" s="12" customFormat="1" x14ac:dyDescent="0.2">
      <c r="A108" s="436"/>
      <c r="B108" s="436"/>
      <c r="C108" s="436"/>
      <c r="D108" s="436"/>
      <c r="E108" s="436"/>
      <c r="F108" s="436"/>
      <c r="G108" s="436"/>
      <c r="H108" s="436"/>
      <c r="I108" s="436"/>
      <c r="J108" s="3"/>
      <c r="K108" s="30"/>
      <c r="M108" s="58"/>
    </row>
    <row r="109" spans="1:14" s="12" customFormat="1" x14ac:dyDescent="0.2">
      <c r="A109" s="431" t="s">
        <v>89</v>
      </c>
      <c r="B109" s="431"/>
      <c r="C109" s="431"/>
      <c r="D109" s="431"/>
      <c r="E109" s="431"/>
      <c r="F109" s="431"/>
      <c r="G109" s="431"/>
      <c r="H109" s="431"/>
      <c r="I109" s="431"/>
      <c r="J109" s="3"/>
      <c r="K109" s="30"/>
    </row>
    <row r="110" spans="1:14" s="12" customFormat="1" x14ac:dyDescent="0.2">
      <c r="A110" s="126">
        <v>5</v>
      </c>
      <c r="B110" s="427" t="s">
        <v>90</v>
      </c>
      <c r="C110" s="427"/>
      <c r="D110" s="427"/>
      <c r="E110" s="427"/>
      <c r="F110" s="427"/>
      <c r="G110" s="427"/>
      <c r="H110" s="126"/>
      <c r="I110" s="150" t="s">
        <v>19</v>
      </c>
      <c r="J110" s="3"/>
      <c r="K110" s="30"/>
    </row>
    <row r="111" spans="1:14" s="12" customFormat="1" x14ac:dyDescent="0.2">
      <c r="A111" s="126" t="s">
        <v>1</v>
      </c>
      <c r="B111" s="435" t="s">
        <v>91</v>
      </c>
      <c r="C111" s="435"/>
      <c r="D111" s="435"/>
      <c r="E111" s="435"/>
      <c r="F111" s="435"/>
      <c r="G111" s="435"/>
      <c r="H111" s="124" t="s">
        <v>92</v>
      </c>
      <c r="I111" s="152">
        <f>UNIFORME_EPI!H13</f>
        <v>53.9</v>
      </c>
      <c r="J111" s="3"/>
      <c r="K111" s="30"/>
    </row>
    <row r="112" spans="1:14" s="12" customFormat="1" x14ac:dyDescent="0.2">
      <c r="A112" s="126" t="s">
        <v>2</v>
      </c>
      <c r="B112" s="435" t="s">
        <v>447</v>
      </c>
      <c r="C112" s="435"/>
      <c r="D112" s="435"/>
      <c r="E112" s="435"/>
      <c r="F112" s="435"/>
      <c r="G112" s="435"/>
      <c r="H112" s="124" t="s">
        <v>92</v>
      </c>
      <c r="I112" s="152">
        <f>EQUIPAMENTOS!G16</f>
        <v>4.3181190476190476</v>
      </c>
      <c r="J112" s="3"/>
      <c r="K112" s="30"/>
    </row>
    <row r="113" spans="1:11" s="12" customFormat="1" x14ac:dyDescent="0.2">
      <c r="A113" s="19" t="s">
        <v>4</v>
      </c>
      <c r="B113" s="435" t="s">
        <v>212</v>
      </c>
      <c r="C113" s="435"/>
      <c r="D113" s="435"/>
      <c r="E113" s="435"/>
      <c r="F113" s="435"/>
      <c r="G113" s="435"/>
      <c r="H113" s="124" t="s">
        <v>92</v>
      </c>
      <c r="I113" s="152">
        <f>'RELÓGIO_ PONTO '!G8</f>
        <v>4.4444444444444438</v>
      </c>
      <c r="J113" s="3"/>
      <c r="K113" s="30"/>
    </row>
    <row r="114" spans="1:11" s="12" customFormat="1" x14ac:dyDescent="0.2">
      <c r="A114" s="427" t="s">
        <v>93</v>
      </c>
      <c r="B114" s="427"/>
      <c r="C114" s="427"/>
      <c r="D114" s="427"/>
      <c r="E114" s="427"/>
      <c r="F114" s="427"/>
      <c r="G114" s="427"/>
      <c r="H114" s="5" t="s">
        <v>92</v>
      </c>
      <c r="I114" s="154">
        <f>TRUNC(SUM(I111:I113),2)</f>
        <v>62.66</v>
      </c>
      <c r="J114" s="3"/>
      <c r="K114" s="30"/>
    </row>
    <row r="115" spans="1:11" s="12" customFormat="1" x14ac:dyDescent="0.2">
      <c r="A115" s="436"/>
      <c r="B115" s="436"/>
      <c r="C115" s="436"/>
      <c r="D115" s="436"/>
      <c r="E115" s="436"/>
      <c r="F115" s="436"/>
      <c r="G115" s="436"/>
      <c r="H115" s="436"/>
      <c r="I115" s="436"/>
      <c r="J115" s="3"/>
      <c r="K115" s="30"/>
    </row>
    <row r="116" spans="1:11" s="12" customFormat="1" x14ac:dyDescent="0.2">
      <c r="A116" s="431" t="s">
        <v>94</v>
      </c>
      <c r="B116" s="431"/>
      <c r="C116" s="431"/>
      <c r="D116" s="431"/>
      <c r="E116" s="431"/>
      <c r="F116" s="431"/>
      <c r="G116" s="431"/>
      <c r="H116" s="431"/>
      <c r="I116" s="431"/>
      <c r="J116" s="3"/>
      <c r="K116" s="30"/>
    </row>
    <row r="117" spans="1:11" s="12" customFormat="1" x14ac:dyDescent="0.2">
      <c r="A117" s="126">
        <v>6</v>
      </c>
      <c r="B117" s="427" t="s">
        <v>95</v>
      </c>
      <c r="C117" s="427"/>
      <c r="D117" s="427"/>
      <c r="E117" s="427"/>
      <c r="F117" s="427"/>
      <c r="G117" s="427"/>
      <c r="H117" s="126" t="s">
        <v>18</v>
      </c>
      <c r="I117" s="150" t="s">
        <v>19</v>
      </c>
      <c r="J117" s="3"/>
      <c r="K117" s="30"/>
    </row>
    <row r="118" spans="1:11" s="12" customFormat="1" x14ac:dyDescent="0.2">
      <c r="A118" s="126" t="s">
        <v>1</v>
      </c>
      <c r="B118" s="428" t="s">
        <v>96</v>
      </c>
      <c r="C118" s="428"/>
      <c r="D118" s="428"/>
      <c r="E118" s="428"/>
      <c r="F118" s="428"/>
      <c r="G118" s="428"/>
      <c r="H118" s="122">
        <v>0.03</v>
      </c>
      <c r="I118" s="152">
        <f>TRUNC(H118*I142,2)</f>
        <v>183.44</v>
      </c>
      <c r="J118" s="3"/>
      <c r="K118" s="30"/>
    </row>
    <row r="119" spans="1:11" s="12" customFormat="1" x14ac:dyDescent="0.2">
      <c r="A119" s="126" t="s">
        <v>2</v>
      </c>
      <c r="B119" s="428" t="s">
        <v>97</v>
      </c>
      <c r="C119" s="428"/>
      <c r="D119" s="428"/>
      <c r="E119" s="428"/>
      <c r="F119" s="428"/>
      <c r="G119" s="428"/>
      <c r="H119" s="122">
        <v>0.03</v>
      </c>
      <c r="I119" s="152">
        <f>TRUNC(H119*(I118+I142),2)</f>
        <v>188.95</v>
      </c>
      <c r="J119" s="3"/>
      <c r="K119" s="30"/>
    </row>
    <row r="120" spans="1:11" s="12" customFormat="1" x14ac:dyDescent="0.2">
      <c r="A120" s="126" t="s">
        <v>4</v>
      </c>
      <c r="B120" s="434" t="s">
        <v>98</v>
      </c>
      <c r="C120" s="434"/>
      <c r="D120" s="434"/>
      <c r="E120" s="434"/>
      <c r="F120" s="434"/>
      <c r="G120" s="434"/>
      <c r="H120" s="2"/>
      <c r="I120" s="152"/>
      <c r="J120" s="3"/>
      <c r="K120" s="30"/>
    </row>
    <row r="121" spans="1:11" s="12" customFormat="1" x14ac:dyDescent="0.2">
      <c r="A121" s="126" t="s">
        <v>99</v>
      </c>
      <c r="B121" s="428" t="s">
        <v>100</v>
      </c>
      <c r="C121" s="428"/>
      <c r="D121" s="428"/>
      <c r="E121" s="428"/>
      <c r="F121" s="428"/>
      <c r="G121" s="428"/>
      <c r="H121" s="20">
        <v>1.6500000000000001E-2</v>
      </c>
      <c r="I121" s="152">
        <f>TRUNC(H121*I131,2)</f>
        <v>124.82</v>
      </c>
      <c r="J121" s="3"/>
      <c r="K121" s="30"/>
    </row>
    <row r="122" spans="1:11" s="12" customFormat="1" x14ac:dyDescent="0.2">
      <c r="A122" s="126" t="s">
        <v>101</v>
      </c>
      <c r="B122" s="428" t="s">
        <v>102</v>
      </c>
      <c r="C122" s="428"/>
      <c r="D122" s="428"/>
      <c r="E122" s="428"/>
      <c r="F122" s="428"/>
      <c r="G122" s="428"/>
      <c r="H122" s="20">
        <v>7.5999999999999998E-2</v>
      </c>
      <c r="I122" s="152">
        <f>TRUNC(H122*I131,2)</f>
        <v>574.97</v>
      </c>
      <c r="J122" s="3"/>
      <c r="K122" s="30"/>
    </row>
    <row r="123" spans="1:11" s="12" customFormat="1" x14ac:dyDescent="0.2">
      <c r="A123" s="126" t="s">
        <v>103</v>
      </c>
      <c r="B123" s="428" t="s">
        <v>104</v>
      </c>
      <c r="C123" s="428"/>
      <c r="D123" s="428"/>
      <c r="E123" s="428"/>
      <c r="F123" s="428"/>
      <c r="G123" s="428"/>
      <c r="H123" s="20">
        <v>0.05</v>
      </c>
      <c r="I123" s="152">
        <f>TRUNC(H123*I131,2)</f>
        <v>378.27</v>
      </c>
      <c r="J123" s="3"/>
      <c r="K123" s="40"/>
    </row>
    <row r="124" spans="1:11" s="12" customFormat="1" x14ac:dyDescent="0.2">
      <c r="A124" s="427" t="s">
        <v>105</v>
      </c>
      <c r="B124" s="427"/>
      <c r="C124" s="427"/>
      <c r="D124" s="427"/>
      <c r="E124" s="427"/>
      <c r="F124" s="427"/>
      <c r="G124" s="427"/>
      <c r="H124" s="123">
        <f>SUM(H118:H123)</f>
        <v>0.20250000000000001</v>
      </c>
      <c r="I124" s="152">
        <f>TRUNC(SUM(I118:I123),2)</f>
        <v>1450.45</v>
      </c>
      <c r="J124" s="3"/>
      <c r="K124" s="30"/>
    </row>
    <row r="125" spans="1:11" s="12" customFormat="1" x14ac:dyDescent="0.2">
      <c r="A125" s="125"/>
      <c r="B125" s="432"/>
      <c r="C125" s="432"/>
      <c r="D125" s="432"/>
      <c r="E125" s="432"/>
      <c r="F125" s="432"/>
      <c r="G125" s="432"/>
      <c r="H125" s="432"/>
      <c r="I125" s="432"/>
      <c r="K125" s="30"/>
    </row>
    <row r="126" spans="1:11" s="12" customFormat="1" hidden="1" x14ac:dyDescent="0.2">
      <c r="A126" s="21" t="s">
        <v>106</v>
      </c>
      <c r="B126" s="491" t="s">
        <v>107</v>
      </c>
      <c r="C126" s="491"/>
      <c r="D126" s="491"/>
      <c r="E126" s="491"/>
      <c r="F126" s="491"/>
      <c r="G126" s="491"/>
      <c r="H126" s="22">
        <f>TRUNC(H121+H122+H123,4)</f>
        <v>0.14249999999999999</v>
      </c>
      <c r="I126" s="172"/>
      <c r="K126" s="30"/>
    </row>
    <row r="127" spans="1:11" s="12" customFormat="1" hidden="1" x14ac:dyDescent="0.2">
      <c r="A127" s="23"/>
      <c r="B127" s="488">
        <v>100</v>
      </c>
      <c r="C127" s="488"/>
      <c r="D127" s="488"/>
      <c r="E127" s="488"/>
      <c r="F127" s="488"/>
      <c r="G127" s="488"/>
      <c r="H127" s="24"/>
      <c r="I127" s="174"/>
      <c r="K127" s="30"/>
    </row>
    <row r="128" spans="1:11" s="12" customFormat="1" hidden="1" x14ac:dyDescent="0.2">
      <c r="A128" s="25"/>
      <c r="B128" s="131"/>
      <c r="C128" s="131"/>
      <c r="D128" s="131"/>
      <c r="E128" s="131"/>
      <c r="F128" s="131"/>
      <c r="G128" s="131"/>
      <c r="H128" s="24"/>
      <c r="I128" s="174"/>
      <c r="K128" s="30"/>
    </row>
    <row r="129" spans="1:11" s="12" customFormat="1" hidden="1" x14ac:dyDescent="0.2">
      <c r="A129" s="23" t="s">
        <v>108</v>
      </c>
      <c r="B129" s="488" t="s">
        <v>109</v>
      </c>
      <c r="C129" s="488"/>
      <c r="D129" s="488"/>
      <c r="E129" s="488"/>
      <c r="F129" s="488"/>
      <c r="G129" s="488"/>
      <c r="H129" s="24"/>
      <c r="I129" s="174">
        <f>TRUNC(I142+I118+I119,2)</f>
        <v>6487.37</v>
      </c>
      <c r="K129" s="30"/>
    </row>
    <row r="130" spans="1:11" s="12" customFormat="1" hidden="1" x14ac:dyDescent="0.2">
      <c r="A130" s="23"/>
      <c r="B130" s="131"/>
      <c r="C130" s="131"/>
      <c r="D130" s="131"/>
      <c r="E130" s="131"/>
      <c r="F130" s="131"/>
      <c r="G130" s="131"/>
      <c r="H130" s="24"/>
      <c r="I130" s="174"/>
      <c r="K130" s="30"/>
    </row>
    <row r="131" spans="1:11" s="12" customFormat="1" hidden="1" x14ac:dyDescent="0.2">
      <c r="A131" s="23" t="s">
        <v>110</v>
      </c>
      <c r="B131" s="488" t="s">
        <v>111</v>
      </c>
      <c r="C131" s="488"/>
      <c r="D131" s="488"/>
      <c r="E131" s="488"/>
      <c r="F131" s="488"/>
      <c r="G131" s="488"/>
      <c r="H131" s="24"/>
      <c r="I131" s="174">
        <f>TRUNC(I129/(1-H126),2)</f>
        <v>7565.44</v>
      </c>
      <c r="K131" s="30"/>
    </row>
    <row r="132" spans="1:11" s="12" customFormat="1" hidden="1" x14ac:dyDescent="0.2">
      <c r="A132" s="23"/>
      <c r="B132" s="131"/>
      <c r="C132" s="131"/>
      <c r="D132" s="131"/>
      <c r="E132" s="131"/>
      <c r="F132" s="131"/>
      <c r="G132" s="131"/>
      <c r="H132" s="24"/>
      <c r="I132" s="174"/>
      <c r="K132" s="30"/>
    </row>
    <row r="133" spans="1:11" s="12" customFormat="1" hidden="1" x14ac:dyDescent="0.2">
      <c r="A133" s="26"/>
      <c r="B133" s="489" t="s">
        <v>112</v>
      </c>
      <c r="C133" s="489"/>
      <c r="D133" s="489"/>
      <c r="E133" s="489"/>
      <c r="F133" s="489"/>
      <c r="G133" s="489"/>
      <c r="H133" s="27"/>
      <c r="I133" s="177">
        <f>TRUNC(I131-I129,2)</f>
        <v>1078.07</v>
      </c>
      <c r="K133" s="28"/>
    </row>
    <row r="134" spans="1:11" s="12" customFormat="1" ht="2.25" customHeight="1" x14ac:dyDescent="0.2">
      <c r="A134" s="125"/>
      <c r="B134" s="125"/>
      <c r="C134" s="125"/>
      <c r="D134" s="125"/>
      <c r="E134" s="125"/>
      <c r="F134" s="125"/>
      <c r="G134" s="125"/>
      <c r="H134" s="125"/>
      <c r="I134" s="178"/>
      <c r="K134" s="30"/>
    </row>
    <row r="135" spans="1:11" s="12" customFormat="1" x14ac:dyDescent="0.2">
      <c r="A135" s="490" t="s">
        <v>113</v>
      </c>
      <c r="B135" s="490"/>
      <c r="C135" s="490"/>
      <c r="D135" s="490"/>
      <c r="E135" s="490"/>
      <c r="F135" s="490"/>
      <c r="G135" s="490"/>
      <c r="H135" s="490"/>
      <c r="I135" s="490"/>
      <c r="K135" s="29"/>
    </row>
    <row r="136" spans="1:11" s="12" customFormat="1" x14ac:dyDescent="0.2">
      <c r="A136" s="427" t="s">
        <v>114</v>
      </c>
      <c r="B136" s="427"/>
      <c r="C136" s="427"/>
      <c r="D136" s="427"/>
      <c r="E136" s="427"/>
      <c r="F136" s="427"/>
      <c r="G136" s="427"/>
      <c r="H136" s="427"/>
      <c r="I136" s="150" t="s">
        <v>19</v>
      </c>
      <c r="K136" s="30"/>
    </row>
    <row r="137" spans="1:11" s="12" customFormat="1" x14ac:dyDescent="0.2">
      <c r="A137" s="124" t="s">
        <v>1</v>
      </c>
      <c r="B137" s="428" t="str">
        <f>A27</f>
        <v>MÓDULO 1 - COMPOSIÇÃO DA REMUNERAÇÃO</v>
      </c>
      <c r="C137" s="428"/>
      <c r="D137" s="428"/>
      <c r="E137" s="428"/>
      <c r="F137" s="428"/>
      <c r="G137" s="428"/>
      <c r="H137" s="428"/>
      <c r="I137" s="152">
        <f>I35</f>
        <v>2850.44</v>
      </c>
      <c r="K137" s="30"/>
    </row>
    <row r="138" spans="1:11" s="12" customFormat="1" x14ac:dyDescent="0.2">
      <c r="A138" s="124" t="s">
        <v>2</v>
      </c>
      <c r="B138" s="428" t="str">
        <f>A37</f>
        <v>MÓDULO 2 – ENCARGOS E BENEFÍCIOS ANUAIS, MENSAIS E DIÁRIOS</v>
      </c>
      <c r="C138" s="428"/>
      <c r="D138" s="428"/>
      <c r="E138" s="428"/>
      <c r="F138" s="428"/>
      <c r="G138" s="428"/>
      <c r="H138" s="428"/>
      <c r="I138" s="152">
        <f>I78</f>
        <v>2959.92</v>
      </c>
      <c r="K138" s="30"/>
    </row>
    <row r="139" spans="1:11" s="12" customFormat="1" x14ac:dyDescent="0.2">
      <c r="A139" s="124" t="s">
        <v>4</v>
      </c>
      <c r="B139" s="428" t="str">
        <f>A80</f>
        <v>MÓDULO 3 – PROVISÃO PARA RESCISÃO</v>
      </c>
      <c r="C139" s="428"/>
      <c r="D139" s="428"/>
      <c r="E139" s="428"/>
      <c r="F139" s="428"/>
      <c r="G139" s="428"/>
      <c r="H139" s="428"/>
      <c r="I139" s="152">
        <f>I87</f>
        <v>205.48</v>
      </c>
      <c r="K139" s="29"/>
    </row>
    <row r="140" spans="1:11" s="12" customFormat="1" x14ac:dyDescent="0.2">
      <c r="A140" s="124" t="s">
        <v>6</v>
      </c>
      <c r="B140" s="428" t="str">
        <f>A89</f>
        <v>MÓDULO 4 – CUSTO DE REPOSIÇÃO DO PROFISSIONAL AUSENTE</v>
      </c>
      <c r="C140" s="428"/>
      <c r="D140" s="428"/>
      <c r="E140" s="428"/>
      <c r="F140" s="428"/>
      <c r="G140" s="428"/>
      <c r="H140" s="428"/>
      <c r="I140" s="152">
        <f>I107</f>
        <v>36.479999999999997</v>
      </c>
      <c r="K140" s="29"/>
    </row>
    <row r="141" spans="1:11" s="12" customFormat="1" x14ac:dyDescent="0.2">
      <c r="A141" s="124" t="s">
        <v>23</v>
      </c>
      <c r="B141" s="428" t="str">
        <f>A109</f>
        <v>MÓDULO 5 – INSUMOS DIVERSOS</v>
      </c>
      <c r="C141" s="428"/>
      <c r="D141" s="428"/>
      <c r="E141" s="428"/>
      <c r="F141" s="428"/>
      <c r="G141" s="428"/>
      <c r="H141" s="428"/>
      <c r="I141" s="152">
        <f>I114</f>
        <v>62.66</v>
      </c>
      <c r="K141" s="30"/>
    </row>
    <row r="142" spans="1:11" s="12" customFormat="1" x14ac:dyDescent="0.2">
      <c r="A142" s="126"/>
      <c r="B142" s="427" t="s">
        <v>115</v>
      </c>
      <c r="C142" s="427"/>
      <c r="D142" s="427"/>
      <c r="E142" s="427"/>
      <c r="F142" s="427"/>
      <c r="G142" s="427"/>
      <c r="H142" s="427"/>
      <c r="I142" s="152">
        <f>TRUNC(SUM(I137:I141),2)</f>
        <v>6114.98</v>
      </c>
      <c r="J142" s="40"/>
      <c r="K142" s="28"/>
    </row>
    <row r="143" spans="1:11" s="12" customFormat="1" x14ac:dyDescent="0.2">
      <c r="A143" s="124" t="s">
        <v>25</v>
      </c>
      <c r="B143" s="428" t="str">
        <f>A116</f>
        <v>MÓDULO 6 – CUSTOS INDIRETOS, TRIBUTOS E LUCRO</v>
      </c>
      <c r="C143" s="428"/>
      <c r="D143" s="428"/>
      <c r="E143" s="428"/>
      <c r="F143" s="428"/>
      <c r="G143" s="428"/>
      <c r="H143" s="428"/>
      <c r="I143" s="152">
        <f>I124</f>
        <v>1450.45</v>
      </c>
    </row>
    <row r="144" spans="1:11" s="12" customFormat="1" x14ac:dyDescent="0.2">
      <c r="A144" s="427" t="s">
        <v>116</v>
      </c>
      <c r="B144" s="427"/>
      <c r="C144" s="427"/>
      <c r="D144" s="427"/>
      <c r="E144" s="427"/>
      <c r="F144" s="427"/>
      <c r="G144" s="427"/>
      <c r="H144" s="427"/>
      <c r="I144" s="179">
        <f>TRUNC(SUM(I142:I143),2)</f>
        <v>7565.43</v>
      </c>
      <c r="J144" s="56"/>
      <c r="K144" s="56"/>
    </row>
    <row r="145" spans="1:9" s="12" customFormat="1" x14ac:dyDescent="0.2">
      <c r="A145" s="30"/>
      <c r="B145" s="30"/>
      <c r="C145" s="30"/>
      <c r="D145" s="30"/>
      <c r="E145" s="30"/>
      <c r="F145" s="30"/>
      <c r="G145" s="30"/>
      <c r="H145" s="30"/>
      <c r="I145" s="181"/>
    </row>
  </sheetData>
  <mergeCells count="148">
    <mergeCell ref="A1:I1"/>
    <mergeCell ref="A2:I2"/>
    <mergeCell ref="A4:I4"/>
    <mergeCell ref="A6:I6"/>
    <mergeCell ref="A8:I8"/>
    <mergeCell ref="B139:H139"/>
    <mergeCell ref="B140:H140"/>
    <mergeCell ref="B141:H141"/>
    <mergeCell ref="B142:H142"/>
    <mergeCell ref="B117:G117"/>
    <mergeCell ref="B118:G118"/>
    <mergeCell ref="B119:G119"/>
    <mergeCell ref="B120:G120"/>
    <mergeCell ref="B121:G121"/>
    <mergeCell ref="B122:G122"/>
    <mergeCell ref="B112:G112"/>
    <mergeCell ref="B113:G113"/>
    <mergeCell ref="A114:G114"/>
    <mergeCell ref="A115:I115"/>
    <mergeCell ref="A116:I116"/>
    <mergeCell ref="B106:H106"/>
    <mergeCell ref="A107:H107"/>
    <mergeCell ref="A108:I108"/>
    <mergeCell ref="A109:I109"/>
    <mergeCell ref="B143:H143"/>
    <mergeCell ref="A144:H144"/>
    <mergeCell ref="B131:G131"/>
    <mergeCell ref="B133:G133"/>
    <mergeCell ref="A135:I135"/>
    <mergeCell ref="A136:H136"/>
    <mergeCell ref="B137:H137"/>
    <mergeCell ref="B138:H138"/>
    <mergeCell ref="B123:G123"/>
    <mergeCell ref="A124:G124"/>
    <mergeCell ref="B125:I125"/>
    <mergeCell ref="B126:G126"/>
    <mergeCell ref="B127:G127"/>
    <mergeCell ref="B129:G129"/>
    <mergeCell ref="B110:G110"/>
    <mergeCell ref="B111:G111"/>
    <mergeCell ref="B100:G100"/>
    <mergeCell ref="A101:G101"/>
    <mergeCell ref="A102:I102"/>
    <mergeCell ref="A103:I103"/>
    <mergeCell ref="A104:H104"/>
    <mergeCell ref="B105:H105"/>
    <mergeCell ref="B94:G94"/>
    <mergeCell ref="B95:G95"/>
    <mergeCell ref="B96:G96"/>
    <mergeCell ref="A97:G97"/>
    <mergeCell ref="A98:I98"/>
    <mergeCell ref="A99:G99"/>
    <mergeCell ref="A88:I88"/>
    <mergeCell ref="A89:I89"/>
    <mergeCell ref="A90:G90"/>
    <mergeCell ref="B91:G91"/>
    <mergeCell ref="B92:G92"/>
    <mergeCell ref="B93:G93"/>
    <mergeCell ref="B83:G83"/>
    <mergeCell ref="B84:G84"/>
    <mergeCell ref="B85:G85"/>
    <mergeCell ref="B86:G86"/>
    <mergeCell ref="A87:G87"/>
    <mergeCell ref="B76:H76"/>
    <mergeCell ref="B77:H77"/>
    <mergeCell ref="A78:H78"/>
    <mergeCell ref="A80:I80"/>
    <mergeCell ref="B81:G81"/>
    <mergeCell ref="B82:G82"/>
    <mergeCell ref="A70:I70"/>
    <mergeCell ref="A71:I71"/>
    <mergeCell ref="A72:I72"/>
    <mergeCell ref="A73:I73"/>
    <mergeCell ref="A74:H74"/>
    <mergeCell ref="B75:H75"/>
    <mergeCell ref="B65:G65"/>
    <mergeCell ref="B66:G66"/>
    <mergeCell ref="A67:H67"/>
    <mergeCell ref="A68:I68"/>
    <mergeCell ref="A69:I69"/>
    <mergeCell ref="J69:R69"/>
    <mergeCell ref="A59:I59"/>
    <mergeCell ref="A60:G60"/>
    <mergeCell ref="B61:G61"/>
    <mergeCell ref="B62:G62"/>
    <mergeCell ref="B63:G63"/>
    <mergeCell ref="B64:G64"/>
    <mergeCell ref="B53:G53"/>
    <mergeCell ref="B54:G54"/>
    <mergeCell ref="B55:G55"/>
    <mergeCell ref="B56:G56"/>
    <mergeCell ref="B57:G57"/>
    <mergeCell ref="A58:G58"/>
    <mergeCell ref="A47:I47"/>
    <mergeCell ref="A48:G48"/>
    <mergeCell ref="B49:G49"/>
    <mergeCell ref="B50:G50"/>
    <mergeCell ref="B51:G52"/>
    <mergeCell ref="I51:I52"/>
    <mergeCell ref="B40:G40"/>
    <mergeCell ref="B42:G42"/>
    <mergeCell ref="A44:I44"/>
    <mergeCell ref="A45:I45"/>
    <mergeCell ref="A46:I46"/>
    <mergeCell ref="B34:G34"/>
    <mergeCell ref="A35:H35"/>
    <mergeCell ref="A36:I36"/>
    <mergeCell ref="A37:I37"/>
    <mergeCell ref="A38:G38"/>
    <mergeCell ref="B39:G39"/>
    <mergeCell ref="A41:G41"/>
    <mergeCell ref="A43:G43"/>
    <mergeCell ref="B28:G28"/>
    <mergeCell ref="B29:G29"/>
    <mergeCell ref="B30:G30"/>
    <mergeCell ref="B31:G31"/>
    <mergeCell ref="B32:G32"/>
    <mergeCell ref="B33:G33"/>
    <mergeCell ref="B24:G24"/>
    <mergeCell ref="H24:I24"/>
    <mergeCell ref="B25:G25"/>
    <mergeCell ref="H25:I25"/>
    <mergeCell ref="A26:I26"/>
    <mergeCell ref="A27:I27"/>
    <mergeCell ref="A20:I20"/>
    <mergeCell ref="B21:G21"/>
    <mergeCell ref="H21:I21"/>
    <mergeCell ref="B22:G22"/>
    <mergeCell ref="H22:I22"/>
    <mergeCell ref="B23:G23"/>
    <mergeCell ref="H23:I23"/>
    <mergeCell ref="A3:I3"/>
    <mergeCell ref="A10:I10"/>
    <mergeCell ref="B11:G11"/>
    <mergeCell ref="H11:I11"/>
    <mergeCell ref="A16:I16"/>
    <mergeCell ref="A17:B17"/>
    <mergeCell ref="C17:D17"/>
    <mergeCell ref="E17:I17"/>
    <mergeCell ref="A18:B18"/>
    <mergeCell ref="C18:D18"/>
    <mergeCell ref="E18:I18"/>
    <mergeCell ref="B12:G12"/>
    <mergeCell ref="H12:I12"/>
    <mergeCell ref="B13:G13"/>
    <mergeCell ref="H13:I13"/>
    <mergeCell ref="B14:G14"/>
    <mergeCell ref="H14:I14"/>
  </mergeCells>
  <pageMargins left="0.51181102362204722" right="0.51181102362204722" top="1.6535433070866143" bottom="1.299212598425197" header="0.11811023622047245" footer="0.31496062992125984"/>
  <pageSetup paperSize="9" scale="74" orientation="portrait" r:id="rId1"/>
  <rowBreaks count="1" manualBreakCount="1">
    <brk id="71"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I145"/>
  <sheetViews>
    <sheetView view="pageBreakPreview" zoomScale="140" zoomScaleNormal="100" zoomScaleSheetLayoutView="140" workbookViewId="0">
      <selection activeCell="J13" sqref="J13"/>
    </sheetView>
  </sheetViews>
  <sheetFormatPr defaultRowHeight="12.75" x14ac:dyDescent="0.2"/>
  <cols>
    <col min="1" max="1" width="9.140625" style="12"/>
    <col min="2" max="2" width="11.7109375" style="12" customWidth="1"/>
    <col min="3" max="6" width="9.140625" style="12"/>
    <col min="7" max="7" width="13.42578125" style="12" customWidth="1"/>
    <col min="8" max="8" width="14.140625" style="12" customWidth="1"/>
    <col min="9" max="9" width="16.42578125" style="180" bestFit="1" customWidth="1"/>
    <col min="10" max="10" width="9.140625" style="12"/>
    <col min="11" max="11" width="14.28515625" style="12" bestFit="1" customWidth="1"/>
    <col min="12" max="1023" width="9.140625" style="12"/>
    <col min="1024" max="16384" width="9.140625" style="30"/>
  </cols>
  <sheetData>
    <row r="1" spans="1:13" x14ac:dyDescent="0.2">
      <c r="A1" s="479" t="s">
        <v>318</v>
      </c>
      <c r="B1" s="479"/>
      <c r="C1" s="479"/>
      <c r="D1" s="479"/>
      <c r="E1" s="479"/>
      <c r="F1" s="479"/>
      <c r="G1" s="479"/>
      <c r="H1" s="479"/>
      <c r="I1" s="479"/>
    </row>
    <row r="2" spans="1:13" x14ac:dyDescent="0.2">
      <c r="A2" s="479" t="s">
        <v>319</v>
      </c>
      <c r="B2" s="479"/>
      <c r="C2" s="479"/>
      <c r="D2" s="479"/>
      <c r="E2" s="479"/>
      <c r="F2" s="479"/>
      <c r="G2" s="479"/>
      <c r="H2" s="479"/>
      <c r="I2" s="479"/>
    </row>
    <row r="3" spans="1:13" x14ac:dyDescent="0.2">
      <c r="A3" s="479" t="s">
        <v>320</v>
      </c>
      <c r="B3" s="479"/>
      <c r="C3" s="479"/>
      <c r="D3" s="479"/>
      <c r="E3" s="479"/>
      <c r="F3" s="479"/>
      <c r="G3" s="479"/>
      <c r="H3" s="479"/>
      <c r="I3" s="479"/>
    </row>
    <row r="4" spans="1:13" x14ac:dyDescent="0.2">
      <c r="A4" s="470"/>
      <c r="B4" s="470"/>
      <c r="C4" s="470"/>
      <c r="D4" s="470"/>
      <c r="E4" s="470"/>
      <c r="F4" s="470"/>
      <c r="G4" s="470"/>
      <c r="H4" s="470"/>
      <c r="I4" s="470"/>
    </row>
    <row r="5" spans="1:13" s="12" customFormat="1" ht="12.75" customHeight="1" x14ac:dyDescent="0.2">
      <c r="A5" s="125"/>
      <c r="B5" s="125"/>
      <c r="C5" s="125"/>
      <c r="D5" s="125"/>
      <c r="E5" s="125"/>
      <c r="F5" s="125"/>
      <c r="G5" s="125"/>
      <c r="H5" s="125"/>
      <c r="I5" s="182"/>
      <c r="J5" s="30"/>
      <c r="K5" s="30"/>
      <c r="M5" s="30"/>
    </row>
    <row r="6" spans="1:13" s="12" customFormat="1" ht="12.75" customHeight="1" x14ac:dyDescent="0.2">
      <c r="A6" s="480" t="s">
        <v>347</v>
      </c>
      <c r="B6" s="480"/>
      <c r="C6" s="480"/>
      <c r="D6" s="480"/>
      <c r="E6" s="480"/>
      <c r="F6" s="480"/>
      <c r="G6" s="480"/>
      <c r="H6" s="480"/>
      <c r="I6" s="480"/>
      <c r="J6" s="30"/>
      <c r="K6" s="30"/>
      <c r="M6" s="30"/>
    </row>
    <row r="7" spans="1:13" s="12" customFormat="1" ht="12.75" customHeight="1" x14ac:dyDescent="0.2">
      <c r="A7" s="134"/>
      <c r="B7" s="134"/>
      <c r="C7" s="134"/>
      <c r="D7" s="134"/>
      <c r="E7" s="134"/>
      <c r="F7" s="134"/>
      <c r="G7" s="134"/>
      <c r="H7" s="134"/>
      <c r="I7" s="147"/>
      <c r="J7" s="30"/>
      <c r="K7" s="30"/>
      <c r="M7" s="30"/>
    </row>
    <row r="8" spans="1:13" s="12" customFormat="1" x14ac:dyDescent="0.2">
      <c r="A8" s="492" t="s">
        <v>461</v>
      </c>
      <c r="B8" s="492"/>
      <c r="C8" s="492"/>
      <c r="D8" s="492"/>
      <c r="E8" s="492"/>
      <c r="F8" s="492"/>
      <c r="G8" s="492"/>
      <c r="H8" s="492"/>
      <c r="I8" s="492"/>
      <c r="J8" s="30"/>
      <c r="K8" s="30"/>
      <c r="M8" s="30"/>
    </row>
    <row r="9" spans="1:13" s="12" customFormat="1" x14ac:dyDescent="0.2">
      <c r="A9" s="1"/>
      <c r="B9" s="1"/>
      <c r="C9" s="1"/>
      <c r="D9" s="1"/>
      <c r="E9" s="1"/>
      <c r="F9" s="1"/>
      <c r="G9" s="1"/>
      <c r="H9" s="1"/>
      <c r="I9" s="148"/>
      <c r="J9" s="30"/>
      <c r="K9" s="30"/>
      <c r="M9" s="30"/>
    </row>
    <row r="10" spans="1:13" s="12" customFormat="1" x14ac:dyDescent="0.2">
      <c r="A10" s="473" t="s">
        <v>0</v>
      </c>
      <c r="B10" s="473"/>
      <c r="C10" s="473"/>
      <c r="D10" s="473"/>
      <c r="E10" s="473"/>
      <c r="F10" s="473"/>
      <c r="G10" s="473"/>
      <c r="H10" s="473"/>
      <c r="I10" s="473"/>
      <c r="J10" s="30"/>
      <c r="K10" s="30"/>
      <c r="M10" s="30"/>
    </row>
    <row r="11" spans="1:13" s="12" customFormat="1" x14ac:dyDescent="0.2">
      <c r="A11" s="124" t="s">
        <v>1</v>
      </c>
      <c r="B11" s="428" t="s">
        <v>315</v>
      </c>
      <c r="C11" s="428"/>
      <c r="D11" s="428"/>
      <c r="E11" s="428"/>
      <c r="F11" s="428"/>
      <c r="G11" s="428"/>
      <c r="H11" s="478" t="s">
        <v>463</v>
      </c>
      <c r="I11" s="478"/>
      <c r="J11" s="30"/>
      <c r="K11" s="30"/>
      <c r="M11" s="30"/>
    </row>
    <row r="12" spans="1:13" s="12" customFormat="1" x14ac:dyDescent="0.2">
      <c r="A12" s="124" t="s">
        <v>2</v>
      </c>
      <c r="B12" s="428" t="s">
        <v>3</v>
      </c>
      <c r="C12" s="428"/>
      <c r="D12" s="428"/>
      <c r="E12" s="428"/>
      <c r="F12" s="428"/>
      <c r="G12" s="428"/>
      <c r="H12" s="471" t="s">
        <v>118</v>
      </c>
      <c r="I12" s="471"/>
      <c r="J12" s="30"/>
      <c r="K12" s="30"/>
      <c r="M12" s="30"/>
    </row>
    <row r="13" spans="1:13" s="12" customFormat="1" x14ac:dyDescent="0.2">
      <c r="A13" s="124" t="s">
        <v>4</v>
      </c>
      <c r="B13" s="428" t="s">
        <v>5</v>
      </c>
      <c r="C13" s="428"/>
      <c r="D13" s="428"/>
      <c r="E13" s="428"/>
      <c r="F13" s="428"/>
      <c r="G13" s="428"/>
      <c r="H13" s="481" t="s">
        <v>480</v>
      </c>
      <c r="I13" s="481"/>
      <c r="J13" s="30"/>
      <c r="K13" s="30"/>
      <c r="M13" s="30"/>
    </row>
    <row r="14" spans="1:13" s="12" customFormat="1" x14ac:dyDescent="0.2">
      <c r="A14" s="124" t="s">
        <v>6</v>
      </c>
      <c r="B14" s="428" t="s">
        <v>7</v>
      </c>
      <c r="C14" s="428"/>
      <c r="D14" s="428"/>
      <c r="E14" s="428"/>
      <c r="F14" s="428"/>
      <c r="G14" s="428"/>
      <c r="H14" s="471">
        <v>12</v>
      </c>
      <c r="I14" s="471"/>
      <c r="J14" s="30"/>
      <c r="K14" s="30"/>
      <c r="M14" s="30"/>
    </row>
    <row r="15" spans="1:13" s="12" customFormat="1" x14ac:dyDescent="0.2">
      <c r="A15" s="125"/>
      <c r="B15" s="130"/>
      <c r="C15" s="130"/>
      <c r="D15" s="130"/>
      <c r="E15" s="130"/>
      <c r="F15" s="130"/>
      <c r="G15" s="130"/>
      <c r="H15" s="125"/>
      <c r="I15" s="182"/>
      <c r="J15" s="30"/>
      <c r="K15" s="30"/>
      <c r="M15" s="30"/>
    </row>
    <row r="16" spans="1:13" s="12" customFormat="1" x14ac:dyDescent="0.2">
      <c r="A16" s="473" t="s">
        <v>8</v>
      </c>
      <c r="B16" s="473"/>
      <c r="C16" s="473"/>
      <c r="D16" s="473"/>
      <c r="E16" s="473"/>
      <c r="F16" s="473"/>
      <c r="G16" s="473"/>
      <c r="H16" s="473"/>
      <c r="I16" s="473"/>
      <c r="J16" s="30"/>
      <c r="K16" s="30"/>
      <c r="M16" s="30"/>
    </row>
    <row r="17" spans="1:13" s="12" customFormat="1" x14ac:dyDescent="0.2">
      <c r="A17" s="471" t="s">
        <v>9</v>
      </c>
      <c r="B17" s="471"/>
      <c r="C17" s="471" t="s">
        <v>10</v>
      </c>
      <c r="D17" s="471"/>
      <c r="E17" s="471" t="s">
        <v>11</v>
      </c>
      <c r="F17" s="471"/>
      <c r="G17" s="471"/>
      <c r="H17" s="471"/>
      <c r="I17" s="471"/>
      <c r="J17" s="30"/>
      <c r="K17" s="30"/>
      <c r="M17" s="30"/>
    </row>
    <row r="18" spans="1:13" s="12" customFormat="1" ht="31.5" customHeight="1" x14ac:dyDescent="0.2">
      <c r="A18" s="474" t="s">
        <v>364</v>
      </c>
      <c r="B18" s="533"/>
      <c r="C18" s="476" t="s">
        <v>371</v>
      </c>
      <c r="D18" s="476"/>
      <c r="E18" s="476">
        <v>4</v>
      </c>
      <c r="F18" s="476"/>
      <c r="G18" s="476"/>
      <c r="H18" s="476"/>
      <c r="I18" s="476"/>
      <c r="J18" s="30"/>
      <c r="K18" s="30"/>
      <c r="M18" s="30"/>
    </row>
    <row r="19" spans="1:13" s="12" customFormat="1" x14ac:dyDescent="0.2">
      <c r="A19" s="125"/>
      <c r="B19" s="130"/>
      <c r="C19" s="130"/>
      <c r="D19" s="130"/>
      <c r="E19" s="130"/>
      <c r="F19" s="130"/>
      <c r="G19" s="130"/>
      <c r="H19" s="125"/>
      <c r="I19" s="182"/>
      <c r="J19" s="30"/>
      <c r="K19" s="30"/>
      <c r="M19" s="30"/>
    </row>
    <row r="20" spans="1:13" s="12" customFormat="1" x14ac:dyDescent="0.2">
      <c r="A20" s="473" t="s">
        <v>330</v>
      </c>
      <c r="B20" s="473"/>
      <c r="C20" s="473"/>
      <c r="D20" s="473"/>
      <c r="E20" s="473"/>
      <c r="F20" s="473"/>
      <c r="G20" s="473"/>
      <c r="H20" s="473"/>
      <c r="I20" s="473"/>
      <c r="J20" s="30"/>
      <c r="K20" s="30"/>
      <c r="M20" s="30"/>
    </row>
    <row r="21" spans="1:13" s="12" customFormat="1" ht="24.75" customHeight="1" x14ac:dyDescent="0.2">
      <c r="A21" s="124">
        <v>1</v>
      </c>
      <c r="B21" s="428" t="s">
        <v>12</v>
      </c>
      <c r="C21" s="428"/>
      <c r="D21" s="428"/>
      <c r="E21" s="428"/>
      <c r="F21" s="428"/>
      <c r="G21" s="428"/>
      <c r="H21" s="468" t="str">
        <f>A18</f>
        <v>SUPERVISOR</v>
      </c>
      <c r="I21" s="468"/>
      <c r="J21" s="30"/>
      <c r="K21" s="30"/>
      <c r="M21" s="30"/>
    </row>
    <row r="22" spans="1:13" s="12" customFormat="1" x14ac:dyDescent="0.2">
      <c r="A22" s="124">
        <v>2</v>
      </c>
      <c r="B22" s="428" t="s">
        <v>13</v>
      </c>
      <c r="C22" s="428"/>
      <c r="D22" s="428"/>
      <c r="E22" s="428"/>
      <c r="F22" s="428"/>
      <c r="G22" s="428"/>
      <c r="H22" s="471"/>
      <c r="I22" s="471"/>
      <c r="J22" s="30"/>
      <c r="K22" s="30"/>
      <c r="M22" s="30"/>
    </row>
    <row r="23" spans="1:13" s="12" customFormat="1" x14ac:dyDescent="0.2">
      <c r="A23" s="124">
        <v>3</v>
      </c>
      <c r="B23" s="428" t="s">
        <v>326</v>
      </c>
      <c r="C23" s="428"/>
      <c r="D23" s="428"/>
      <c r="E23" s="428"/>
      <c r="F23" s="428"/>
      <c r="G23" s="428"/>
      <c r="H23" s="485">
        <v>2630.02</v>
      </c>
      <c r="I23" s="485"/>
      <c r="J23" s="30"/>
      <c r="K23" s="132"/>
      <c r="M23" s="30"/>
    </row>
    <row r="24" spans="1:13" s="12" customFormat="1" ht="27" customHeight="1" x14ac:dyDescent="0.2">
      <c r="A24" s="124">
        <v>4</v>
      </c>
      <c r="B24" s="428" t="s">
        <v>14</v>
      </c>
      <c r="C24" s="428"/>
      <c r="D24" s="428"/>
      <c r="E24" s="428"/>
      <c r="F24" s="428"/>
      <c r="G24" s="428"/>
      <c r="H24" s="468" t="str">
        <f>H21</f>
        <v>SUPERVISOR</v>
      </c>
      <c r="I24" s="468"/>
      <c r="J24" s="30"/>
      <c r="K24" s="30"/>
      <c r="M24" s="30"/>
    </row>
    <row r="25" spans="1:13" s="12" customFormat="1" x14ac:dyDescent="0.2">
      <c r="A25" s="124">
        <v>5</v>
      </c>
      <c r="B25" s="428" t="s">
        <v>15</v>
      </c>
      <c r="C25" s="428"/>
      <c r="D25" s="428"/>
      <c r="E25" s="428"/>
      <c r="F25" s="428"/>
      <c r="G25" s="428"/>
      <c r="H25" s="469">
        <v>43466</v>
      </c>
      <c r="I25" s="469"/>
      <c r="J25" s="30"/>
      <c r="K25" s="30"/>
      <c r="M25" s="30"/>
    </row>
    <row r="26" spans="1:13" s="12" customFormat="1" x14ac:dyDescent="0.2">
      <c r="A26" s="470"/>
      <c r="B26" s="470"/>
      <c r="C26" s="470"/>
      <c r="D26" s="470"/>
      <c r="E26" s="470"/>
      <c r="F26" s="470"/>
      <c r="G26" s="470"/>
      <c r="H26" s="470"/>
      <c r="I26" s="470"/>
      <c r="J26" s="30"/>
      <c r="K26" s="30"/>
      <c r="M26" s="30"/>
    </row>
    <row r="27" spans="1:13" s="12" customFormat="1" x14ac:dyDescent="0.2">
      <c r="A27" s="431" t="s">
        <v>16</v>
      </c>
      <c r="B27" s="431"/>
      <c r="C27" s="431"/>
      <c r="D27" s="431"/>
      <c r="E27" s="431"/>
      <c r="F27" s="431"/>
      <c r="G27" s="431"/>
      <c r="H27" s="431"/>
      <c r="I27" s="431"/>
      <c r="J27" s="30"/>
      <c r="K27" s="30"/>
      <c r="M27" s="30"/>
    </row>
    <row r="28" spans="1:13" s="12" customFormat="1" x14ac:dyDescent="0.2">
      <c r="A28" s="126">
        <v>1</v>
      </c>
      <c r="B28" s="427" t="s">
        <v>17</v>
      </c>
      <c r="C28" s="427"/>
      <c r="D28" s="427"/>
      <c r="E28" s="427"/>
      <c r="F28" s="427"/>
      <c r="G28" s="427"/>
      <c r="H28" s="126" t="s">
        <v>18</v>
      </c>
      <c r="I28" s="150" t="s">
        <v>19</v>
      </c>
      <c r="J28" s="30"/>
      <c r="K28" s="30"/>
      <c r="M28" s="30"/>
    </row>
    <row r="29" spans="1:13" s="12" customFormat="1" x14ac:dyDescent="0.2">
      <c r="A29" s="126" t="s">
        <v>1</v>
      </c>
      <c r="B29" s="428" t="s">
        <v>20</v>
      </c>
      <c r="C29" s="428"/>
      <c r="D29" s="428"/>
      <c r="E29" s="428"/>
      <c r="F29" s="428"/>
      <c r="G29" s="428"/>
      <c r="H29" s="128"/>
      <c r="I29" s="152">
        <f>H23</f>
        <v>2630.02</v>
      </c>
      <c r="J29" s="30"/>
      <c r="K29" s="30"/>
      <c r="M29" s="30"/>
    </row>
    <row r="30" spans="1:13" s="12" customFormat="1" x14ac:dyDescent="0.2">
      <c r="A30" s="126" t="s">
        <v>2</v>
      </c>
      <c r="B30" s="428" t="s">
        <v>401</v>
      </c>
      <c r="C30" s="428"/>
      <c r="D30" s="428"/>
      <c r="E30" s="428"/>
      <c r="F30" s="428"/>
      <c r="G30" s="428"/>
      <c r="H30" s="2">
        <v>0.3</v>
      </c>
      <c r="I30" s="152">
        <f>I29*H30</f>
        <v>789.00599999999997</v>
      </c>
      <c r="J30" s="30"/>
      <c r="K30" s="30"/>
      <c r="M30" s="30"/>
    </row>
    <row r="31" spans="1:13" s="12" customFormat="1" x14ac:dyDescent="0.2">
      <c r="A31" s="126" t="s">
        <v>4</v>
      </c>
      <c r="B31" s="428" t="s">
        <v>21</v>
      </c>
      <c r="C31" s="428"/>
      <c r="D31" s="428"/>
      <c r="E31" s="428"/>
      <c r="F31" s="428"/>
      <c r="G31" s="428"/>
      <c r="H31" s="2"/>
      <c r="I31" s="152">
        <f>H31*I29</f>
        <v>0</v>
      </c>
      <c r="J31" s="30"/>
      <c r="K31" s="30"/>
      <c r="M31" s="30"/>
    </row>
    <row r="32" spans="1:13" s="12" customFormat="1" x14ac:dyDescent="0.2">
      <c r="A32" s="126" t="s">
        <v>6</v>
      </c>
      <c r="B32" s="428" t="s">
        <v>22</v>
      </c>
      <c r="C32" s="428"/>
      <c r="D32" s="428"/>
      <c r="E32" s="428"/>
      <c r="F32" s="428"/>
      <c r="G32" s="428"/>
      <c r="H32" s="2"/>
      <c r="I32" s="152">
        <v>0</v>
      </c>
      <c r="J32" s="30"/>
      <c r="K32" s="30"/>
      <c r="M32" s="30"/>
    </row>
    <row r="33" spans="1:13" s="12" customFormat="1" x14ac:dyDescent="0.2">
      <c r="A33" s="126" t="s">
        <v>23</v>
      </c>
      <c r="B33" s="428" t="s">
        <v>24</v>
      </c>
      <c r="C33" s="428"/>
      <c r="D33" s="428"/>
      <c r="E33" s="428"/>
      <c r="F33" s="428"/>
      <c r="G33" s="428"/>
      <c r="H33" s="2"/>
      <c r="I33" s="152">
        <v>0</v>
      </c>
      <c r="J33" s="30"/>
      <c r="K33" s="30"/>
      <c r="M33" s="30"/>
    </row>
    <row r="34" spans="1:13" s="12" customFormat="1" x14ac:dyDescent="0.2">
      <c r="A34" s="126" t="s">
        <v>25</v>
      </c>
      <c r="B34" s="428" t="s">
        <v>26</v>
      </c>
      <c r="C34" s="428"/>
      <c r="D34" s="428"/>
      <c r="E34" s="428"/>
      <c r="F34" s="428"/>
      <c r="G34" s="428"/>
      <c r="H34" s="2"/>
      <c r="I34" s="152">
        <v>0</v>
      </c>
      <c r="J34" s="30"/>
      <c r="K34" s="30"/>
      <c r="M34" s="30"/>
    </row>
    <row r="35" spans="1:13" s="12" customFormat="1" x14ac:dyDescent="0.2">
      <c r="A35" s="427" t="s">
        <v>27</v>
      </c>
      <c r="B35" s="427"/>
      <c r="C35" s="427"/>
      <c r="D35" s="427"/>
      <c r="E35" s="427"/>
      <c r="F35" s="427"/>
      <c r="G35" s="427"/>
      <c r="H35" s="427"/>
      <c r="I35" s="154">
        <f>TRUNC(SUM(I29:I34),2)</f>
        <v>3419.02</v>
      </c>
      <c r="J35" s="30"/>
      <c r="K35" s="30"/>
      <c r="M35" s="30"/>
    </row>
    <row r="36" spans="1:13" s="12" customFormat="1" x14ac:dyDescent="0.2">
      <c r="A36" s="463"/>
      <c r="B36" s="463"/>
      <c r="C36" s="463"/>
      <c r="D36" s="463"/>
      <c r="E36" s="463"/>
      <c r="F36" s="463"/>
      <c r="G36" s="463"/>
      <c r="H36" s="463"/>
      <c r="I36" s="463"/>
      <c r="J36" s="30"/>
      <c r="K36" s="30"/>
      <c r="M36" s="30"/>
    </row>
    <row r="37" spans="1:13" s="12" customFormat="1" x14ac:dyDescent="0.2">
      <c r="A37" s="431" t="s">
        <v>28</v>
      </c>
      <c r="B37" s="431"/>
      <c r="C37" s="431"/>
      <c r="D37" s="431"/>
      <c r="E37" s="431"/>
      <c r="F37" s="431"/>
      <c r="G37" s="431"/>
      <c r="H37" s="431"/>
      <c r="I37" s="431"/>
      <c r="J37" s="3"/>
      <c r="K37" s="30"/>
      <c r="M37" s="30"/>
    </row>
    <row r="38" spans="1:13" s="12" customFormat="1" x14ac:dyDescent="0.2">
      <c r="A38" s="427" t="s">
        <v>29</v>
      </c>
      <c r="B38" s="427"/>
      <c r="C38" s="427"/>
      <c r="D38" s="427"/>
      <c r="E38" s="427"/>
      <c r="F38" s="427"/>
      <c r="G38" s="427"/>
      <c r="H38" s="126" t="s">
        <v>18</v>
      </c>
      <c r="I38" s="150" t="s">
        <v>19</v>
      </c>
      <c r="J38" s="3"/>
      <c r="K38" s="30"/>
      <c r="M38" s="30"/>
    </row>
    <row r="39" spans="1:13" s="12" customFormat="1" x14ac:dyDescent="0.2">
      <c r="A39" s="126" t="s">
        <v>1</v>
      </c>
      <c r="B39" s="428" t="s">
        <v>30</v>
      </c>
      <c r="C39" s="428"/>
      <c r="D39" s="428"/>
      <c r="E39" s="428"/>
      <c r="F39" s="428"/>
      <c r="G39" s="428"/>
      <c r="H39" s="4">
        <f>1/12</f>
        <v>8.3333333333333329E-2</v>
      </c>
      <c r="I39" s="160">
        <f>$I$35*H39</f>
        <v>284.91833333333329</v>
      </c>
      <c r="J39" s="3"/>
      <c r="K39" s="30"/>
      <c r="M39" s="30"/>
    </row>
    <row r="40" spans="1:13" s="12" customFormat="1" x14ac:dyDescent="0.2">
      <c r="A40" s="126" t="s">
        <v>2</v>
      </c>
      <c r="B40" s="428" t="s">
        <v>31</v>
      </c>
      <c r="C40" s="428"/>
      <c r="D40" s="428"/>
      <c r="E40" s="428"/>
      <c r="F40" s="428"/>
      <c r="G40" s="428"/>
      <c r="H40" s="4">
        <v>0.121</v>
      </c>
      <c r="I40" s="160">
        <f>H40*I35</f>
        <v>413.70141999999998</v>
      </c>
      <c r="J40" s="3"/>
      <c r="K40" s="30"/>
      <c r="M40" s="30"/>
    </row>
    <row r="41" spans="1:13" s="12" customFormat="1" x14ac:dyDescent="0.2">
      <c r="A41" s="511" t="s">
        <v>436</v>
      </c>
      <c r="B41" s="512"/>
      <c r="C41" s="512"/>
      <c r="D41" s="512"/>
      <c r="E41" s="512"/>
      <c r="F41" s="512"/>
      <c r="G41" s="513"/>
      <c r="H41" s="41">
        <f>SUM(H39:H40)</f>
        <v>0.20433333333333331</v>
      </c>
      <c r="I41" s="193">
        <f>SUM(I39:I40)</f>
        <v>698.61975333333328</v>
      </c>
      <c r="J41" s="3"/>
      <c r="K41" s="30"/>
      <c r="M41" s="30"/>
    </row>
    <row r="42" spans="1:13" s="12" customFormat="1" x14ac:dyDescent="0.2">
      <c r="A42" s="310" t="s">
        <v>4</v>
      </c>
      <c r="B42" s="464" t="s">
        <v>394</v>
      </c>
      <c r="C42" s="465"/>
      <c r="D42" s="465"/>
      <c r="E42" s="465"/>
      <c r="F42" s="465"/>
      <c r="G42" s="466"/>
      <c r="H42" s="305">
        <f>(H41)*H58</f>
        <v>8.1324666666666656E-2</v>
      </c>
      <c r="I42" s="311">
        <f>ROUND(((I41)*H58),2)</f>
        <v>278.05</v>
      </c>
      <c r="J42" s="3"/>
      <c r="K42" s="30"/>
      <c r="M42" s="30"/>
    </row>
    <row r="43" spans="1:13" s="12" customFormat="1" x14ac:dyDescent="0.2">
      <c r="A43" s="529" t="s">
        <v>437</v>
      </c>
      <c r="B43" s="530"/>
      <c r="C43" s="530"/>
      <c r="D43" s="530"/>
      <c r="E43" s="530"/>
      <c r="F43" s="530"/>
      <c r="G43" s="531"/>
      <c r="H43" s="41">
        <f>SUM(H41:H42)</f>
        <v>0.28565799999999997</v>
      </c>
      <c r="I43" s="158">
        <f>I41+I42</f>
        <v>976.66975333333335</v>
      </c>
      <c r="J43" s="3"/>
      <c r="K43" s="30"/>
      <c r="M43" s="30"/>
    </row>
    <row r="44" spans="1:13" s="12" customFormat="1" ht="30" hidden="1" customHeight="1" x14ac:dyDescent="0.2">
      <c r="A44" s="449" t="s">
        <v>34</v>
      </c>
      <c r="B44" s="449"/>
      <c r="C44" s="449"/>
      <c r="D44" s="449"/>
      <c r="E44" s="449"/>
      <c r="F44" s="449"/>
      <c r="G44" s="449"/>
      <c r="H44" s="449"/>
      <c r="I44" s="449"/>
      <c r="J44" s="3"/>
      <c r="K44" s="30"/>
      <c r="M44" s="30"/>
    </row>
    <row r="45" spans="1:13" s="12" customFormat="1" ht="39.950000000000003" hidden="1" customHeight="1" x14ac:dyDescent="0.2">
      <c r="A45" s="449" t="s">
        <v>35</v>
      </c>
      <c r="B45" s="449"/>
      <c r="C45" s="449"/>
      <c r="D45" s="449"/>
      <c r="E45" s="449"/>
      <c r="F45" s="449"/>
      <c r="G45" s="449"/>
      <c r="H45" s="449"/>
      <c r="I45" s="449"/>
      <c r="J45" s="3"/>
      <c r="K45" s="30"/>
      <c r="M45" s="30"/>
    </row>
    <row r="46" spans="1:13" s="12" customFormat="1" ht="39.950000000000003" hidden="1" customHeight="1" x14ac:dyDescent="0.2">
      <c r="A46" s="449" t="s">
        <v>36</v>
      </c>
      <c r="B46" s="449"/>
      <c r="C46" s="449"/>
      <c r="D46" s="449"/>
      <c r="E46" s="449"/>
      <c r="F46" s="449"/>
      <c r="G46" s="449"/>
      <c r="H46" s="449"/>
      <c r="I46" s="449"/>
      <c r="J46" s="3"/>
      <c r="K46" s="30"/>
      <c r="M46" s="30"/>
    </row>
    <row r="47" spans="1:13" s="12" customFormat="1" x14ac:dyDescent="0.2">
      <c r="A47" s="457"/>
      <c r="B47" s="457"/>
      <c r="C47" s="457"/>
      <c r="D47" s="457"/>
      <c r="E47" s="457"/>
      <c r="F47" s="457"/>
      <c r="G47" s="457"/>
      <c r="H47" s="457"/>
      <c r="I47" s="457"/>
      <c r="J47" s="6"/>
      <c r="K47" s="7"/>
      <c r="M47" s="30"/>
    </row>
    <row r="48" spans="1:13" s="12" customFormat="1" x14ac:dyDescent="0.2">
      <c r="A48" s="451" t="s">
        <v>37</v>
      </c>
      <c r="B48" s="451"/>
      <c r="C48" s="451"/>
      <c r="D48" s="451"/>
      <c r="E48" s="451"/>
      <c r="F48" s="451"/>
      <c r="G48" s="451"/>
      <c r="H48" s="127" t="s">
        <v>18</v>
      </c>
      <c r="I48" s="159" t="s">
        <v>19</v>
      </c>
      <c r="J48" s="3"/>
      <c r="K48" s="30"/>
      <c r="M48" s="30"/>
    </row>
    <row r="49" spans="1:13" s="12" customFormat="1" x14ac:dyDescent="0.2">
      <c r="A49" s="126" t="s">
        <v>1</v>
      </c>
      <c r="B49" s="428" t="s">
        <v>38</v>
      </c>
      <c r="C49" s="428"/>
      <c r="D49" s="428"/>
      <c r="E49" s="428"/>
      <c r="F49" s="428"/>
      <c r="G49" s="428"/>
      <c r="H49" s="4">
        <v>0.2</v>
      </c>
      <c r="I49" s="160">
        <f>($I$35+I42)*H49</f>
        <v>739.4140000000001</v>
      </c>
      <c r="J49" s="3"/>
      <c r="K49" s="30"/>
      <c r="M49" s="30"/>
    </row>
    <row r="50" spans="1:13" s="12" customFormat="1" x14ac:dyDescent="0.2">
      <c r="A50" s="126" t="s">
        <v>2</v>
      </c>
      <c r="B50" s="428" t="s">
        <v>39</v>
      </c>
      <c r="C50" s="428"/>
      <c r="D50" s="428"/>
      <c r="E50" s="428"/>
      <c r="F50" s="428"/>
      <c r="G50" s="428"/>
      <c r="H50" s="4">
        <v>2.5000000000000001E-2</v>
      </c>
      <c r="I50" s="160">
        <f>($I$35+I42)*H50</f>
        <v>92.426750000000013</v>
      </c>
      <c r="J50" s="3"/>
      <c r="K50" s="30"/>
      <c r="M50" s="30"/>
    </row>
    <row r="51" spans="1:13" s="12" customFormat="1" x14ac:dyDescent="0.2">
      <c r="A51" s="126" t="s">
        <v>4</v>
      </c>
      <c r="B51" s="486" t="s">
        <v>40</v>
      </c>
      <c r="C51" s="486"/>
      <c r="D51" s="486"/>
      <c r="E51" s="486"/>
      <c r="F51" s="486"/>
      <c r="G51" s="486"/>
      <c r="H51" s="4">
        <v>0.03</v>
      </c>
      <c r="I51" s="487">
        <f>($I$35+I42)*H51*H52</f>
        <v>221.82419999999999</v>
      </c>
      <c r="J51" s="31">
        <f>H51*H52</f>
        <v>0.06</v>
      </c>
      <c r="K51" s="8"/>
      <c r="M51" s="30"/>
    </row>
    <row r="52" spans="1:13" s="12" customFormat="1" x14ac:dyDescent="0.2">
      <c r="A52" s="126"/>
      <c r="B52" s="486"/>
      <c r="C52" s="486"/>
      <c r="D52" s="486"/>
      <c r="E52" s="486"/>
      <c r="F52" s="486"/>
      <c r="G52" s="486"/>
      <c r="H52" s="10">
        <v>2</v>
      </c>
      <c r="I52" s="487"/>
      <c r="J52" s="3"/>
      <c r="K52" s="8"/>
      <c r="M52" s="30"/>
    </row>
    <row r="53" spans="1:13" s="12" customFormat="1" x14ac:dyDescent="0.2">
      <c r="A53" s="126" t="s">
        <v>6</v>
      </c>
      <c r="B53" s="428" t="s">
        <v>41</v>
      </c>
      <c r="C53" s="428"/>
      <c r="D53" s="428"/>
      <c r="E53" s="428"/>
      <c r="F53" s="428"/>
      <c r="G53" s="428"/>
      <c r="H53" s="4">
        <v>1.4999999999999999E-2</v>
      </c>
      <c r="I53" s="160">
        <f>($I$35+I42)*H53</f>
        <v>55.456049999999998</v>
      </c>
      <c r="J53" s="3"/>
      <c r="K53" s="30"/>
      <c r="M53" s="30"/>
    </row>
    <row r="54" spans="1:13" s="12" customFormat="1" x14ac:dyDescent="0.2">
      <c r="A54" s="126" t="s">
        <v>23</v>
      </c>
      <c r="B54" s="428" t="s">
        <v>42</v>
      </c>
      <c r="C54" s="428"/>
      <c r="D54" s="428"/>
      <c r="E54" s="428"/>
      <c r="F54" s="428"/>
      <c r="G54" s="428"/>
      <c r="H54" s="4">
        <v>0.01</v>
      </c>
      <c r="I54" s="160">
        <f>($I$35+I42)*H54</f>
        <v>36.970700000000001</v>
      </c>
      <c r="J54" s="3"/>
      <c r="K54" s="30"/>
      <c r="M54" s="30"/>
    </row>
    <row r="55" spans="1:13" s="12" customFormat="1" x14ac:dyDescent="0.2">
      <c r="A55" s="126" t="s">
        <v>25</v>
      </c>
      <c r="B55" s="428" t="s">
        <v>43</v>
      </c>
      <c r="C55" s="428"/>
      <c r="D55" s="428"/>
      <c r="E55" s="428"/>
      <c r="F55" s="428"/>
      <c r="G55" s="428"/>
      <c r="H55" s="4">
        <v>6.0000000000000001E-3</v>
      </c>
      <c r="I55" s="160">
        <f>($I$35+I42)*H55</f>
        <v>22.18242</v>
      </c>
      <c r="J55" s="3"/>
      <c r="K55" s="30"/>
      <c r="M55" s="30"/>
    </row>
    <row r="56" spans="1:13" s="12" customFormat="1" x14ac:dyDescent="0.2">
      <c r="A56" s="126" t="s">
        <v>44</v>
      </c>
      <c r="B56" s="428" t="s">
        <v>45</v>
      </c>
      <c r="C56" s="428"/>
      <c r="D56" s="428"/>
      <c r="E56" s="428"/>
      <c r="F56" s="428"/>
      <c r="G56" s="428"/>
      <c r="H56" s="4">
        <v>2E-3</v>
      </c>
      <c r="I56" s="160">
        <f>($I$35+I42)*H56</f>
        <v>7.3941400000000002</v>
      </c>
      <c r="J56" s="3"/>
      <c r="K56" s="30"/>
      <c r="M56" s="30"/>
    </row>
    <row r="57" spans="1:13" s="12" customFormat="1" x14ac:dyDescent="0.2">
      <c r="A57" s="126" t="s">
        <v>46</v>
      </c>
      <c r="B57" s="428" t="s">
        <v>47</v>
      </c>
      <c r="C57" s="428"/>
      <c r="D57" s="428"/>
      <c r="E57" s="428"/>
      <c r="F57" s="428"/>
      <c r="G57" s="428"/>
      <c r="H57" s="4">
        <v>0.08</v>
      </c>
      <c r="I57" s="160">
        <f>($I$35+I42)*H57</f>
        <v>295.76560000000001</v>
      </c>
      <c r="J57" s="3"/>
      <c r="K57" s="30"/>
      <c r="M57" s="30"/>
    </row>
    <row r="58" spans="1:13" s="12" customFormat="1" x14ac:dyDescent="0.2">
      <c r="A58" s="427" t="s">
        <v>48</v>
      </c>
      <c r="B58" s="427"/>
      <c r="C58" s="427"/>
      <c r="D58" s="427"/>
      <c r="E58" s="427"/>
      <c r="F58" s="427"/>
      <c r="G58" s="427"/>
      <c r="H58" s="5">
        <f>SUM(H49:H50,H53:H57)+J51</f>
        <v>0.39800000000000002</v>
      </c>
      <c r="I58" s="154">
        <f>SUM(I49:I57)</f>
        <v>1471.4338600000003</v>
      </c>
      <c r="J58" s="3"/>
      <c r="K58" s="30"/>
      <c r="M58" s="30"/>
    </row>
    <row r="59" spans="1:13" s="12" customFormat="1" x14ac:dyDescent="0.2">
      <c r="A59" s="450"/>
      <c r="B59" s="450"/>
      <c r="C59" s="450"/>
      <c r="D59" s="450"/>
      <c r="E59" s="450"/>
      <c r="F59" s="450"/>
      <c r="G59" s="450"/>
      <c r="H59" s="450"/>
      <c r="I59" s="450"/>
      <c r="J59" s="3"/>
      <c r="K59" s="30"/>
      <c r="M59" s="30"/>
    </row>
    <row r="60" spans="1:13" s="12" customFormat="1" x14ac:dyDescent="0.2">
      <c r="A60" s="451" t="s">
        <v>49</v>
      </c>
      <c r="B60" s="451"/>
      <c r="C60" s="451"/>
      <c r="D60" s="451"/>
      <c r="E60" s="451"/>
      <c r="F60" s="451"/>
      <c r="G60" s="451"/>
      <c r="H60" s="9" t="s">
        <v>50</v>
      </c>
      <c r="I60" s="159" t="s">
        <v>19</v>
      </c>
      <c r="J60" s="3"/>
      <c r="K60" s="30"/>
      <c r="M60" s="30"/>
    </row>
    <row r="61" spans="1:13" s="12" customFormat="1" x14ac:dyDescent="0.2">
      <c r="A61" s="126" t="s">
        <v>1</v>
      </c>
      <c r="B61" s="435" t="s">
        <v>51</v>
      </c>
      <c r="C61" s="435"/>
      <c r="D61" s="435"/>
      <c r="E61" s="435"/>
      <c r="F61" s="435"/>
      <c r="G61" s="435"/>
      <c r="H61" s="10">
        <v>5.5</v>
      </c>
      <c r="I61" s="152">
        <f>' V.A_VT'!G17</f>
        <v>7.1988000000000056</v>
      </c>
      <c r="J61" s="3"/>
      <c r="K61" s="30"/>
      <c r="M61" s="30"/>
    </row>
    <row r="62" spans="1:13" s="12" customFormat="1" x14ac:dyDescent="0.2">
      <c r="A62" s="126" t="s">
        <v>2</v>
      </c>
      <c r="B62" s="435" t="s">
        <v>52</v>
      </c>
      <c r="C62" s="435"/>
      <c r="D62" s="435"/>
      <c r="E62" s="435"/>
      <c r="F62" s="435"/>
      <c r="G62" s="435"/>
      <c r="H62" s="10">
        <v>35.770000000000003</v>
      </c>
      <c r="I62" s="152">
        <f>' V.A_VT'!G26</f>
        <v>551.25</v>
      </c>
      <c r="J62" s="3"/>
      <c r="K62" s="30"/>
      <c r="M62" s="30"/>
    </row>
    <row r="63" spans="1:13" s="12" customFormat="1" x14ac:dyDescent="0.2">
      <c r="A63" s="126" t="s">
        <v>4</v>
      </c>
      <c r="B63" s="452" t="s">
        <v>314</v>
      </c>
      <c r="C63" s="453"/>
      <c r="D63" s="453"/>
      <c r="E63" s="453"/>
      <c r="F63" s="453"/>
      <c r="G63" s="454"/>
      <c r="H63" s="10"/>
      <c r="I63" s="287"/>
      <c r="J63" s="3"/>
      <c r="K63" s="30"/>
      <c r="M63" s="30"/>
    </row>
    <row r="64" spans="1:13" s="12" customFormat="1" x14ac:dyDescent="0.2">
      <c r="A64" s="126" t="s">
        <v>6</v>
      </c>
      <c r="B64" s="435" t="s">
        <v>211</v>
      </c>
      <c r="C64" s="435"/>
      <c r="D64" s="435"/>
      <c r="E64" s="435"/>
      <c r="F64" s="435"/>
      <c r="G64" s="435"/>
      <c r="H64" s="10"/>
      <c r="I64" s="287"/>
      <c r="J64" s="3"/>
      <c r="K64" s="30"/>
      <c r="M64" s="30"/>
    </row>
    <row r="65" spans="1:16" s="12" customFormat="1" x14ac:dyDescent="0.2">
      <c r="A65" s="126" t="s">
        <v>23</v>
      </c>
      <c r="B65" s="428" t="s">
        <v>311</v>
      </c>
      <c r="C65" s="428"/>
      <c r="D65" s="428"/>
      <c r="E65" s="428"/>
      <c r="F65" s="428"/>
      <c r="G65" s="428"/>
      <c r="H65" s="10"/>
      <c r="I65" s="152"/>
      <c r="J65" s="3"/>
      <c r="K65" s="30"/>
      <c r="M65" s="30"/>
    </row>
    <row r="66" spans="1:16" s="12" customFormat="1" x14ac:dyDescent="0.2">
      <c r="A66" s="126" t="s">
        <v>25</v>
      </c>
      <c r="B66" s="435" t="s">
        <v>26</v>
      </c>
      <c r="C66" s="435"/>
      <c r="D66" s="435"/>
      <c r="E66" s="435"/>
      <c r="F66" s="435"/>
      <c r="G66" s="435"/>
      <c r="H66" s="10"/>
      <c r="I66" s="152"/>
      <c r="J66" s="3"/>
      <c r="K66" s="30"/>
      <c r="M66" s="30"/>
    </row>
    <row r="67" spans="1:16" s="12" customFormat="1" x14ac:dyDescent="0.2">
      <c r="A67" s="427" t="s">
        <v>54</v>
      </c>
      <c r="B67" s="427"/>
      <c r="C67" s="427"/>
      <c r="D67" s="427"/>
      <c r="E67" s="427"/>
      <c r="F67" s="427"/>
      <c r="G67" s="427"/>
      <c r="H67" s="427"/>
      <c r="I67" s="158">
        <f>SUM(I61:I66)</f>
        <v>558.44880000000001</v>
      </c>
      <c r="J67" s="3"/>
      <c r="K67" s="30"/>
      <c r="M67" s="30"/>
    </row>
    <row r="68" spans="1:16" s="12" customFormat="1" ht="30" hidden="1" customHeight="1" x14ac:dyDescent="0.2">
      <c r="A68" s="448" t="s">
        <v>55</v>
      </c>
      <c r="B68" s="448"/>
      <c r="C68" s="448"/>
      <c r="D68" s="448"/>
      <c r="E68" s="448"/>
      <c r="F68" s="448"/>
      <c r="G68" s="448"/>
      <c r="H68" s="448"/>
      <c r="I68" s="448"/>
      <c r="J68" s="3"/>
      <c r="K68" s="30"/>
      <c r="M68" s="30"/>
    </row>
    <row r="69" spans="1:16" s="12" customFormat="1" ht="30" hidden="1" customHeight="1" x14ac:dyDescent="0.2">
      <c r="A69" s="449" t="s">
        <v>56</v>
      </c>
      <c r="B69" s="449"/>
      <c r="C69" s="449"/>
      <c r="D69" s="449"/>
      <c r="E69" s="449"/>
      <c r="F69" s="449"/>
      <c r="G69" s="449"/>
      <c r="H69" s="449"/>
      <c r="I69" s="449"/>
      <c r="J69" s="443" t="s">
        <v>128</v>
      </c>
      <c r="K69" s="444"/>
      <c r="L69" s="444"/>
      <c r="M69" s="444"/>
      <c r="N69" s="444"/>
      <c r="O69" s="444"/>
      <c r="P69" s="444"/>
    </row>
    <row r="70" spans="1:16" s="12" customFormat="1" ht="30" hidden="1" customHeight="1" x14ac:dyDescent="0.2">
      <c r="A70" s="445" t="s">
        <v>57</v>
      </c>
      <c r="B70" s="445"/>
      <c r="C70" s="445"/>
      <c r="D70" s="445"/>
      <c r="E70" s="445"/>
      <c r="F70" s="445"/>
      <c r="G70" s="445"/>
      <c r="H70" s="445"/>
      <c r="I70" s="445"/>
      <c r="J70" s="3"/>
      <c r="K70" s="30"/>
      <c r="M70" s="30"/>
    </row>
    <row r="71" spans="1:16" s="12" customFormat="1" ht="18.75" hidden="1" customHeight="1" x14ac:dyDescent="0.2">
      <c r="A71" s="446" t="s">
        <v>58</v>
      </c>
      <c r="B71" s="446"/>
      <c r="C71" s="446"/>
      <c r="D71" s="446"/>
      <c r="E71" s="446"/>
      <c r="F71" s="446"/>
      <c r="G71" s="446"/>
      <c r="H71" s="446"/>
      <c r="I71" s="446"/>
      <c r="J71" s="3"/>
      <c r="K71" s="30"/>
      <c r="M71" s="30"/>
    </row>
    <row r="72" spans="1:16" s="12" customFormat="1" x14ac:dyDescent="0.2">
      <c r="A72" s="447"/>
      <c r="B72" s="447"/>
      <c r="C72" s="447"/>
      <c r="D72" s="447"/>
      <c r="E72" s="447"/>
      <c r="F72" s="447"/>
      <c r="G72" s="447"/>
      <c r="H72" s="447"/>
      <c r="I72" s="447"/>
      <c r="J72" s="3"/>
      <c r="K72" s="30"/>
      <c r="M72" s="30"/>
    </row>
    <row r="73" spans="1:16" s="12" customFormat="1" x14ac:dyDescent="0.2">
      <c r="A73" s="431" t="s">
        <v>59</v>
      </c>
      <c r="B73" s="431"/>
      <c r="C73" s="431"/>
      <c r="D73" s="431"/>
      <c r="E73" s="431"/>
      <c r="F73" s="431"/>
      <c r="G73" s="431"/>
      <c r="H73" s="431"/>
      <c r="I73" s="431"/>
      <c r="J73" s="3"/>
      <c r="K73" s="30"/>
      <c r="M73" s="30"/>
    </row>
    <row r="74" spans="1:16" s="12" customFormat="1" x14ac:dyDescent="0.2">
      <c r="A74" s="427" t="s">
        <v>60</v>
      </c>
      <c r="B74" s="427"/>
      <c r="C74" s="427"/>
      <c r="D74" s="427"/>
      <c r="E74" s="427"/>
      <c r="F74" s="427"/>
      <c r="G74" s="427"/>
      <c r="H74" s="427"/>
      <c r="I74" s="150" t="s">
        <v>19</v>
      </c>
      <c r="J74" s="3"/>
      <c r="K74" s="30"/>
      <c r="M74" s="30"/>
    </row>
    <row r="75" spans="1:16" s="12" customFormat="1" x14ac:dyDescent="0.2">
      <c r="A75" s="126" t="s">
        <v>61</v>
      </c>
      <c r="B75" s="428" t="s">
        <v>62</v>
      </c>
      <c r="C75" s="428"/>
      <c r="D75" s="428"/>
      <c r="E75" s="428"/>
      <c r="F75" s="428"/>
      <c r="G75" s="428"/>
      <c r="H75" s="428"/>
      <c r="I75" s="152">
        <f>I43</f>
        <v>976.66975333333335</v>
      </c>
      <c r="J75" s="3"/>
      <c r="K75" s="30"/>
      <c r="M75" s="30"/>
    </row>
    <row r="76" spans="1:16" s="12" customFormat="1" x14ac:dyDescent="0.2">
      <c r="A76" s="126" t="s">
        <v>63</v>
      </c>
      <c r="B76" s="428" t="s">
        <v>64</v>
      </c>
      <c r="C76" s="428"/>
      <c r="D76" s="428"/>
      <c r="E76" s="428"/>
      <c r="F76" s="428"/>
      <c r="G76" s="428"/>
      <c r="H76" s="428"/>
      <c r="I76" s="152">
        <f>I58</f>
        <v>1471.4338600000003</v>
      </c>
      <c r="J76" s="3"/>
      <c r="K76" s="30"/>
      <c r="M76" s="30"/>
    </row>
    <row r="77" spans="1:16" s="12" customFormat="1" x14ac:dyDescent="0.2">
      <c r="A77" s="126" t="s">
        <v>65</v>
      </c>
      <c r="B77" s="428" t="s">
        <v>66</v>
      </c>
      <c r="C77" s="428"/>
      <c r="D77" s="428"/>
      <c r="E77" s="428"/>
      <c r="F77" s="428"/>
      <c r="G77" s="428"/>
      <c r="H77" s="428"/>
      <c r="I77" s="152">
        <f>I67</f>
        <v>558.44880000000001</v>
      </c>
      <c r="J77" s="3"/>
      <c r="K77" s="30"/>
      <c r="M77" s="30"/>
    </row>
    <row r="78" spans="1:16" s="12" customFormat="1" x14ac:dyDescent="0.2">
      <c r="A78" s="427" t="s">
        <v>67</v>
      </c>
      <c r="B78" s="427"/>
      <c r="C78" s="427"/>
      <c r="D78" s="427"/>
      <c r="E78" s="427"/>
      <c r="F78" s="427"/>
      <c r="G78" s="427"/>
      <c r="H78" s="427"/>
      <c r="I78" s="154">
        <f>TRUNC(SUM(I75:I77),2)</f>
        <v>3006.55</v>
      </c>
      <c r="J78" s="3"/>
      <c r="K78" s="30"/>
      <c r="M78" s="30"/>
    </row>
    <row r="79" spans="1:16" s="12" customFormat="1" x14ac:dyDescent="0.2">
      <c r="A79" s="11"/>
      <c r="B79" s="11"/>
      <c r="C79" s="11"/>
      <c r="D79" s="11"/>
      <c r="E79" s="11"/>
      <c r="F79" s="11"/>
      <c r="G79" s="11"/>
      <c r="H79" s="11"/>
      <c r="I79" s="164"/>
      <c r="J79" s="3"/>
      <c r="K79" s="30"/>
      <c r="M79" s="30"/>
    </row>
    <row r="80" spans="1:16" s="12" customFormat="1" x14ac:dyDescent="0.2">
      <c r="A80" s="431" t="s">
        <v>68</v>
      </c>
      <c r="B80" s="431"/>
      <c r="C80" s="431"/>
      <c r="D80" s="431"/>
      <c r="E80" s="431"/>
      <c r="F80" s="431"/>
      <c r="G80" s="431"/>
      <c r="H80" s="431"/>
      <c r="I80" s="431"/>
      <c r="J80" s="3"/>
      <c r="K80" s="30"/>
      <c r="M80" s="30"/>
    </row>
    <row r="81" spans="1:13" s="12" customFormat="1" x14ac:dyDescent="0.2">
      <c r="A81" s="126">
        <v>3</v>
      </c>
      <c r="B81" s="427" t="s">
        <v>69</v>
      </c>
      <c r="C81" s="427"/>
      <c r="D81" s="427"/>
      <c r="E81" s="427"/>
      <c r="F81" s="427"/>
      <c r="G81" s="427"/>
      <c r="H81" s="126" t="s">
        <v>18</v>
      </c>
      <c r="I81" s="150" t="s">
        <v>19</v>
      </c>
      <c r="J81" s="3"/>
      <c r="K81" s="30"/>
      <c r="M81" s="30"/>
    </row>
    <row r="82" spans="1:13" s="12" customFormat="1" x14ac:dyDescent="0.2">
      <c r="A82" s="126" t="s">
        <v>1</v>
      </c>
      <c r="B82" s="428" t="s">
        <v>70</v>
      </c>
      <c r="C82" s="428"/>
      <c r="D82" s="428"/>
      <c r="E82" s="428"/>
      <c r="F82" s="428"/>
      <c r="G82" s="428"/>
      <c r="H82" s="4">
        <v>4.5999999999999999E-3</v>
      </c>
      <c r="I82" s="152">
        <f t="shared" ref="I82:I86" si="0">$I$35*H82</f>
        <v>15.727492</v>
      </c>
      <c r="J82" s="3"/>
      <c r="K82" s="30"/>
      <c r="M82" s="30"/>
    </row>
    <row r="83" spans="1:13" s="12" customFormat="1" x14ac:dyDescent="0.2">
      <c r="A83" s="126" t="s">
        <v>2</v>
      </c>
      <c r="B83" s="428" t="s">
        <v>71</v>
      </c>
      <c r="C83" s="428"/>
      <c r="D83" s="428"/>
      <c r="E83" s="428"/>
      <c r="F83" s="428"/>
      <c r="G83" s="428"/>
      <c r="H83" s="4">
        <f>H82*0.08</f>
        <v>3.68E-4</v>
      </c>
      <c r="I83" s="152">
        <f t="shared" si="0"/>
        <v>1.2581993600000001</v>
      </c>
      <c r="J83" s="3"/>
      <c r="K83" s="30"/>
      <c r="M83" s="30"/>
    </row>
    <row r="84" spans="1:13" s="12" customFormat="1" x14ac:dyDescent="0.2">
      <c r="A84" s="126" t="s">
        <v>4</v>
      </c>
      <c r="B84" s="428" t="s">
        <v>72</v>
      </c>
      <c r="C84" s="428"/>
      <c r="D84" s="428"/>
      <c r="E84" s="428"/>
      <c r="F84" s="428"/>
      <c r="G84" s="428"/>
      <c r="H84" s="4">
        <v>1.9400000000000001E-2</v>
      </c>
      <c r="I84" s="152">
        <f t="shared" si="0"/>
        <v>66.328987999999995</v>
      </c>
    </row>
    <row r="85" spans="1:13" s="12" customFormat="1" x14ac:dyDescent="0.2">
      <c r="A85" s="126" t="s">
        <v>6</v>
      </c>
      <c r="B85" s="428" t="s">
        <v>73</v>
      </c>
      <c r="C85" s="428"/>
      <c r="D85" s="428"/>
      <c r="E85" s="428"/>
      <c r="F85" s="428"/>
      <c r="G85" s="428"/>
      <c r="H85" s="13">
        <f>H84*H58</f>
        <v>7.721200000000001E-3</v>
      </c>
      <c r="I85" s="152">
        <f t="shared" si="0"/>
        <v>26.398937224000004</v>
      </c>
      <c r="J85" s="3"/>
      <c r="K85" s="14"/>
    </row>
    <row r="86" spans="1:13" s="12" customFormat="1" ht="39" customHeight="1" x14ac:dyDescent="0.2">
      <c r="A86" s="413" t="s">
        <v>23</v>
      </c>
      <c r="B86" s="517" t="s">
        <v>479</v>
      </c>
      <c r="C86" s="517"/>
      <c r="D86" s="517"/>
      <c r="E86" s="517"/>
      <c r="F86" s="517"/>
      <c r="G86" s="517"/>
      <c r="H86" s="414">
        <v>0.04</v>
      </c>
      <c r="I86" s="416">
        <f t="shared" si="0"/>
        <v>136.76079999999999</v>
      </c>
      <c r="J86" s="3"/>
      <c r="K86" s="30"/>
    </row>
    <row r="87" spans="1:13" s="12" customFormat="1" x14ac:dyDescent="0.2">
      <c r="A87" s="427" t="s">
        <v>74</v>
      </c>
      <c r="B87" s="427"/>
      <c r="C87" s="427"/>
      <c r="D87" s="427"/>
      <c r="E87" s="427"/>
      <c r="F87" s="427"/>
      <c r="G87" s="427"/>
      <c r="H87" s="5">
        <f>TRUNC(SUM(H82:H86),4)</f>
        <v>7.1999999999999995E-2</v>
      </c>
      <c r="I87" s="154">
        <f>TRUNC(SUM(I82:I86),2)</f>
        <v>246.47</v>
      </c>
      <c r="J87" s="3"/>
      <c r="K87" s="30"/>
    </row>
    <row r="88" spans="1:13" s="12" customFormat="1" x14ac:dyDescent="0.2">
      <c r="A88" s="441"/>
      <c r="B88" s="441"/>
      <c r="C88" s="441"/>
      <c r="D88" s="441"/>
      <c r="E88" s="441"/>
      <c r="F88" s="441"/>
      <c r="G88" s="441"/>
      <c r="H88" s="441"/>
      <c r="I88" s="441"/>
      <c r="J88" s="3"/>
      <c r="K88" s="30"/>
    </row>
    <row r="89" spans="1:13" s="12" customFormat="1" x14ac:dyDescent="0.2">
      <c r="A89" s="431" t="s">
        <v>75</v>
      </c>
      <c r="B89" s="431"/>
      <c r="C89" s="431"/>
      <c r="D89" s="431"/>
      <c r="E89" s="431"/>
      <c r="F89" s="431"/>
      <c r="G89" s="431"/>
      <c r="H89" s="431"/>
      <c r="I89" s="431"/>
      <c r="J89" s="3"/>
      <c r="K89" s="30"/>
    </row>
    <row r="90" spans="1:13" s="12" customFormat="1" x14ac:dyDescent="0.2">
      <c r="A90" s="437" t="s">
        <v>76</v>
      </c>
      <c r="B90" s="437"/>
      <c r="C90" s="437"/>
      <c r="D90" s="437"/>
      <c r="E90" s="437"/>
      <c r="F90" s="437"/>
      <c r="G90" s="437"/>
      <c r="H90" s="129" t="s">
        <v>18</v>
      </c>
      <c r="I90" s="166" t="s">
        <v>19</v>
      </c>
      <c r="J90" s="3"/>
      <c r="K90" s="30"/>
    </row>
    <row r="91" spans="1:13" s="12" customFormat="1" x14ac:dyDescent="0.2">
      <c r="A91" s="126" t="s">
        <v>1</v>
      </c>
      <c r="B91" s="428" t="s">
        <v>340</v>
      </c>
      <c r="C91" s="428"/>
      <c r="D91" s="428"/>
      <c r="E91" s="428"/>
      <c r="F91" s="428"/>
      <c r="G91" s="428"/>
      <c r="H91" s="4">
        <v>9.2999999999999992E-3</v>
      </c>
      <c r="I91" s="152">
        <f t="shared" ref="I91:I96" si="1">$I$35*H91</f>
        <v>31.796885999999997</v>
      </c>
      <c r="J91" s="3"/>
      <c r="K91" s="30"/>
    </row>
    <row r="92" spans="1:13" s="12" customFormat="1" x14ac:dyDescent="0.2">
      <c r="A92" s="126" t="s">
        <v>2</v>
      </c>
      <c r="B92" s="428" t="s">
        <v>341</v>
      </c>
      <c r="C92" s="428"/>
      <c r="D92" s="428"/>
      <c r="E92" s="428"/>
      <c r="F92" s="428"/>
      <c r="G92" s="428"/>
      <c r="H92" s="4">
        <v>2.8E-3</v>
      </c>
      <c r="I92" s="152">
        <f>$I$35*H92</f>
        <v>9.5732560000000007</v>
      </c>
      <c r="J92" s="15"/>
      <c r="K92" s="30"/>
    </row>
    <row r="93" spans="1:13" s="12" customFormat="1" x14ac:dyDescent="0.2">
      <c r="A93" s="126" t="s">
        <v>4</v>
      </c>
      <c r="B93" s="428" t="s">
        <v>342</v>
      </c>
      <c r="C93" s="428"/>
      <c r="D93" s="428"/>
      <c r="E93" s="428"/>
      <c r="F93" s="428"/>
      <c r="G93" s="428"/>
      <c r="H93" s="4">
        <v>2.0000000000000001E-4</v>
      </c>
      <c r="I93" s="152">
        <f>$I$35*H93</f>
        <v>0.68380400000000008</v>
      </c>
      <c r="J93" s="15"/>
      <c r="K93" s="16"/>
    </row>
    <row r="94" spans="1:13" s="12" customFormat="1" x14ac:dyDescent="0.2">
      <c r="A94" s="126" t="s">
        <v>6</v>
      </c>
      <c r="B94" s="428" t="s">
        <v>343</v>
      </c>
      <c r="C94" s="428"/>
      <c r="D94" s="428"/>
      <c r="E94" s="428"/>
      <c r="F94" s="428"/>
      <c r="G94" s="428"/>
      <c r="H94" s="4">
        <v>2.9999999999999997E-4</v>
      </c>
      <c r="I94" s="152">
        <f t="shared" si="1"/>
        <v>1.025706</v>
      </c>
      <c r="J94" s="15"/>
      <c r="K94" s="16"/>
    </row>
    <row r="95" spans="1:13" s="12" customFormat="1" x14ac:dyDescent="0.2">
      <c r="A95" s="126" t="s">
        <v>23</v>
      </c>
      <c r="B95" s="428" t="s">
        <v>344</v>
      </c>
      <c r="C95" s="428"/>
      <c r="D95" s="428"/>
      <c r="E95" s="428"/>
      <c r="F95" s="428"/>
      <c r="G95" s="428"/>
      <c r="H95" s="4">
        <v>2.0000000000000001E-4</v>
      </c>
      <c r="I95" s="152">
        <f t="shared" si="1"/>
        <v>0.68380400000000008</v>
      </c>
      <c r="J95" s="30"/>
      <c r="K95" s="17"/>
    </row>
    <row r="96" spans="1:13" s="12" customFormat="1" x14ac:dyDescent="0.2">
      <c r="A96" s="126" t="s">
        <v>25</v>
      </c>
      <c r="B96" s="428" t="s">
        <v>77</v>
      </c>
      <c r="C96" s="428"/>
      <c r="D96" s="428"/>
      <c r="E96" s="428"/>
      <c r="F96" s="428"/>
      <c r="G96" s="428"/>
      <c r="H96" s="4">
        <v>0</v>
      </c>
      <c r="I96" s="152">
        <f t="shared" si="1"/>
        <v>0</v>
      </c>
      <c r="J96" s="18"/>
      <c r="K96" s="30"/>
    </row>
    <row r="97" spans="1:12" s="12" customFormat="1" x14ac:dyDescent="0.2">
      <c r="A97" s="427" t="s">
        <v>78</v>
      </c>
      <c r="B97" s="427"/>
      <c r="C97" s="427"/>
      <c r="D97" s="427"/>
      <c r="E97" s="427"/>
      <c r="F97" s="427"/>
      <c r="G97" s="427"/>
      <c r="H97" s="5">
        <f>TRUNC(SUM(H91:H96),4)</f>
        <v>1.2800000000000001E-2</v>
      </c>
      <c r="I97" s="154">
        <f>TRUNC(SUM(I91:I96),2)</f>
        <v>43.76</v>
      </c>
      <c r="J97" s="3"/>
      <c r="K97" s="30"/>
    </row>
    <row r="98" spans="1:12" s="12" customFormat="1" x14ac:dyDescent="0.2">
      <c r="A98" s="440"/>
      <c r="B98" s="440"/>
      <c r="C98" s="440"/>
      <c r="D98" s="440"/>
      <c r="E98" s="440"/>
      <c r="F98" s="440"/>
      <c r="G98" s="440"/>
      <c r="H98" s="440"/>
      <c r="I98" s="440"/>
      <c r="J98" s="3"/>
      <c r="K98" s="30"/>
    </row>
    <row r="99" spans="1:12" s="12" customFormat="1" x14ac:dyDescent="0.2">
      <c r="A99" s="437" t="s">
        <v>79</v>
      </c>
      <c r="B99" s="437"/>
      <c r="C99" s="437"/>
      <c r="D99" s="437"/>
      <c r="E99" s="437"/>
      <c r="F99" s="437"/>
      <c r="G99" s="437"/>
      <c r="H99" s="129" t="s">
        <v>18</v>
      </c>
      <c r="I99" s="166" t="s">
        <v>19</v>
      </c>
      <c r="J99" s="3"/>
      <c r="K99" s="30"/>
    </row>
    <row r="100" spans="1:12" s="12" customFormat="1" x14ac:dyDescent="0.2">
      <c r="A100" s="368" t="s">
        <v>1</v>
      </c>
      <c r="B100" s="438" t="s">
        <v>80</v>
      </c>
      <c r="C100" s="438"/>
      <c r="D100" s="438"/>
      <c r="E100" s="438"/>
      <c r="F100" s="438"/>
      <c r="G100" s="438"/>
      <c r="H100" s="277">
        <v>0</v>
      </c>
      <c r="I100" s="369">
        <v>22.59</v>
      </c>
      <c r="J100" s="3"/>
      <c r="K100" s="30"/>
    </row>
    <row r="101" spans="1:12" s="12" customFormat="1" x14ac:dyDescent="0.2">
      <c r="A101" s="427" t="s">
        <v>81</v>
      </c>
      <c r="B101" s="427"/>
      <c r="C101" s="427"/>
      <c r="D101" s="427"/>
      <c r="E101" s="427"/>
      <c r="F101" s="427"/>
      <c r="G101" s="427"/>
      <c r="H101" s="5">
        <f>TRUNC(SUM(H100),4)</f>
        <v>0</v>
      </c>
      <c r="I101" s="154">
        <f>TRUNC(SUM(I100),2)</f>
        <v>22.59</v>
      </c>
      <c r="J101" s="3"/>
      <c r="K101" s="30"/>
    </row>
    <row r="102" spans="1:12" s="12" customFormat="1" x14ac:dyDescent="0.2">
      <c r="A102" s="439"/>
      <c r="B102" s="439"/>
      <c r="C102" s="439"/>
      <c r="D102" s="439"/>
      <c r="E102" s="439"/>
      <c r="F102" s="439"/>
      <c r="G102" s="439"/>
      <c r="H102" s="439"/>
      <c r="I102" s="439"/>
      <c r="J102" s="3"/>
      <c r="K102" s="30"/>
    </row>
    <row r="103" spans="1:12" s="12" customFormat="1" x14ac:dyDescent="0.2">
      <c r="A103" s="431" t="s">
        <v>82</v>
      </c>
      <c r="B103" s="431"/>
      <c r="C103" s="431"/>
      <c r="D103" s="431"/>
      <c r="E103" s="431"/>
      <c r="F103" s="431"/>
      <c r="G103" s="431"/>
      <c r="H103" s="431"/>
      <c r="I103" s="431"/>
      <c r="J103" s="3"/>
      <c r="K103" s="30"/>
    </row>
    <row r="104" spans="1:12" s="12" customFormat="1" x14ac:dyDescent="0.2">
      <c r="A104" s="427" t="s">
        <v>83</v>
      </c>
      <c r="B104" s="427"/>
      <c r="C104" s="427"/>
      <c r="D104" s="427"/>
      <c r="E104" s="427"/>
      <c r="F104" s="427"/>
      <c r="G104" s="427"/>
      <c r="H104" s="427"/>
      <c r="I104" s="150" t="s">
        <v>19</v>
      </c>
      <c r="J104" s="3"/>
      <c r="K104" s="30"/>
    </row>
    <row r="105" spans="1:12" s="12" customFormat="1" x14ac:dyDescent="0.2">
      <c r="A105" s="126" t="s">
        <v>84</v>
      </c>
      <c r="B105" s="471" t="s">
        <v>85</v>
      </c>
      <c r="C105" s="471"/>
      <c r="D105" s="471"/>
      <c r="E105" s="471"/>
      <c r="F105" s="471"/>
      <c r="G105" s="471"/>
      <c r="H105" s="471"/>
      <c r="I105" s="152">
        <f>I97</f>
        <v>43.76</v>
      </c>
      <c r="J105" s="3"/>
      <c r="K105" s="30"/>
    </row>
    <row r="106" spans="1:12" s="12" customFormat="1" x14ac:dyDescent="0.2">
      <c r="A106" s="126" t="s">
        <v>86</v>
      </c>
      <c r="B106" s="471" t="s">
        <v>87</v>
      </c>
      <c r="C106" s="471"/>
      <c r="D106" s="471"/>
      <c r="E106" s="471"/>
      <c r="F106" s="471"/>
      <c r="G106" s="471"/>
      <c r="H106" s="471"/>
      <c r="I106" s="152">
        <f>I101</f>
        <v>22.59</v>
      </c>
      <c r="J106" s="3"/>
      <c r="K106" s="30"/>
      <c r="L106" s="56" t="e">
        <f>#REF!/2</f>
        <v>#REF!</v>
      </c>
    </row>
    <row r="107" spans="1:12" s="12" customFormat="1" x14ac:dyDescent="0.2">
      <c r="A107" s="427" t="s">
        <v>88</v>
      </c>
      <c r="B107" s="427"/>
      <c r="C107" s="427"/>
      <c r="D107" s="427"/>
      <c r="E107" s="427"/>
      <c r="F107" s="427"/>
      <c r="G107" s="427"/>
      <c r="H107" s="427"/>
      <c r="I107" s="154">
        <f>TRUNC(SUM(I105:I106),2)</f>
        <v>66.349999999999994</v>
      </c>
      <c r="J107" s="3"/>
      <c r="K107" s="30"/>
    </row>
    <row r="108" spans="1:12" s="12" customFormat="1" x14ac:dyDescent="0.2">
      <c r="A108" s="436"/>
      <c r="B108" s="436"/>
      <c r="C108" s="436"/>
      <c r="D108" s="436"/>
      <c r="E108" s="436"/>
      <c r="F108" s="436"/>
      <c r="G108" s="436"/>
      <c r="H108" s="436"/>
      <c r="I108" s="436"/>
      <c r="J108" s="3"/>
      <c r="K108" s="30"/>
    </row>
    <row r="109" spans="1:12" s="12" customFormat="1" x14ac:dyDescent="0.2">
      <c r="A109" s="431" t="s">
        <v>89</v>
      </c>
      <c r="B109" s="431"/>
      <c r="C109" s="431"/>
      <c r="D109" s="431"/>
      <c r="E109" s="431"/>
      <c r="F109" s="431"/>
      <c r="G109" s="431"/>
      <c r="H109" s="431"/>
      <c r="I109" s="431"/>
      <c r="J109" s="3"/>
      <c r="K109" s="30"/>
    </row>
    <row r="110" spans="1:12" s="12" customFormat="1" x14ac:dyDescent="0.2">
      <c r="A110" s="126">
        <v>5</v>
      </c>
      <c r="B110" s="427" t="s">
        <v>90</v>
      </c>
      <c r="C110" s="427"/>
      <c r="D110" s="427"/>
      <c r="E110" s="427"/>
      <c r="F110" s="427"/>
      <c r="G110" s="427"/>
      <c r="H110" s="126"/>
      <c r="I110" s="150" t="s">
        <v>19</v>
      </c>
      <c r="J110" s="3"/>
      <c r="K110" s="30"/>
    </row>
    <row r="111" spans="1:12" s="12" customFormat="1" x14ac:dyDescent="0.2">
      <c r="A111" s="126" t="s">
        <v>1</v>
      </c>
      <c r="B111" s="435" t="s">
        <v>91</v>
      </c>
      <c r="C111" s="435"/>
      <c r="D111" s="435"/>
      <c r="E111" s="435"/>
      <c r="F111" s="435"/>
      <c r="G111" s="435"/>
      <c r="H111" s="124" t="s">
        <v>92</v>
      </c>
      <c r="I111" s="152">
        <f>UNIFORME_EPI!H26</f>
        <v>75.344999999999999</v>
      </c>
      <c r="J111" s="3"/>
      <c r="K111" s="30"/>
    </row>
    <row r="112" spans="1:12" s="12" customFormat="1" x14ac:dyDescent="0.2">
      <c r="A112" s="19" t="s">
        <v>2</v>
      </c>
      <c r="B112" s="435" t="s">
        <v>397</v>
      </c>
      <c r="C112" s="435"/>
      <c r="D112" s="435"/>
      <c r="E112" s="435"/>
      <c r="F112" s="435"/>
      <c r="G112" s="435"/>
      <c r="H112" s="124" t="s">
        <v>92</v>
      </c>
      <c r="I112" s="152">
        <f>EQUIPAMENTOS!G36</f>
        <v>37.395833333333336</v>
      </c>
      <c r="J112" s="3"/>
      <c r="K112" s="30"/>
    </row>
    <row r="113" spans="1:11" s="12" customFormat="1" x14ac:dyDescent="0.2">
      <c r="A113" s="19" t="s">
        <v>4</v>
      </c>
      <c r="B113" s="435" t="s">
        <v>212</v>
      </c>
      <c r="C113" s="435"/>
      <c r="D113" s="435"/>
      <c r="E113" s="435"/>
      <c r="F113" s="435"/>
      <c r="G113" s="435"/>
      <c r="H113" s="124" t="s">
        <v>92</v>
      </c>
      <c r="I113" s="152">
        <f>'RELÓGIO_ PONTO '!G8</f>
        <v>4.4444444444444438</v>
      </c>
      <c r="J113" s="3"/>
      <c r="K113" s="30"/>
    </row>
    <row r="114" spans="1:11" s="12" customFormat="1" x14ac:dyDescent="0.2">
      <c r="A114" s="427" t="s">
        <v>93</v>
      </c>
      <c r="B114" s="427"/>
      <c r="C114" s="427"/>
      <c r="D114" s="427"/>
      <c r="E114" s="427"/>
      <c r="F114" s="427"/>
      <c r="G114" s="427"/>
      <c r="H114" s="5" t="s">
        <v>92</v>
      </c>
      <c r="I114" s="154">
        <f>TRUNC(SUM(I111:I113),2)</f>
        <v>117.18</v>
      </c>
      <c r="J114" s="3"/>
      <c r="K114" s="30"/>
    </row>
    <row r="115" spans="1:11" s="12" customFormat="1" x14ac:dyDescent="0.2">
      <c r="A115" s="436"/>
      <c r="B115" s="436"/>
      <c r="C115" s="436"/>
      <c r="D115" s="436"/>
      <c r="E115" s="436"/>
      <c r="F115" s="436"/>
      <c r="G115" s="436"/>
      <c r="H115" s="436"/>
      <c r="I115" s="436"/>
      <c r="J115" s="3"/>
      <c r="K115" s="30"/>
    </row>
    <row r="116" spans="1:11" s="12" customFormat="1" x14ac:dyDescent="0.2">
      <c r="A116" s="431" t="s">
        <v>94</v>
      </c>
      <c r="B116" s="431"/>
      <c r="C116" s="431"/>
      <c r="D116" s="431"/>
      <c r="E116" s="431"/>
      <c r="F116" s="431"/>
      <c r="G116" s="431"/>
      <c r="H116" s="431"/>
      <c r="I116" s="431"/>
      <c r="J116" s="3"/>
      <c r="K116" s="30"/>
    </row>
    <row r="117" spans="1:11" s="12" customFormat="1" x14ac:dyDescent="0.2">
      <c r="A117" s="126">
        <v>6</v>
      </c>
      <c r="B117" s="427" t="s">
        <v>95</v>
      </c>
      <c r="C117" s="427"/>
      <c r="D117" s="427"/>
      <c r="E117" s="427"/>
      <c r="F117" s="427"/>
      <c r="G117" s="427"/>
      <c r="H117" s="126" t="s">
        <v>18</v>
      </c>
      <c r="I117" s="150" t="s">
        <v>19</v>
      </c>
      <c r="J117" s="3"/>
      <c r="K117" s="30"/>
    </row>
    <row r="118" spans="1:11" s="12" customFormat="1" x14ac:dyDescent="0.2">
      <c r="A118" s="126" t="s">
        <v>1</v>
      </c>
      <c r="B118" s="428" t="s">
        <v>96</v>
      </c>
      <c r="C118" s="428"/>
      <c r="D118" s="428"/>
      <c r="E118" s="428"/>
      <c r="F118" s="428"/>
      <c r="G118" s="428"/>
      <c r="H118" s="122">
        <v>0.03</v>
      </c>
      <c r="I118" s="152">
        <f>TRUNC(H118*I142,2)</f>
        <v>205.66</v>
      </c>
      <c r="J118" s="3"/>
      <c r="K118" s="30"/>
    </row>
    <row r="119" spans="1:11" s="12" customFormat="1" x14ac:dyDescent="0.2">
      <c r="A119" s="126" t="s">
        <v>2</v>
      </c>
      <c r="B119" s="428" t="s">
        <v>97</v>
      </c>
      <c r="C119" s="428"/>
      <c r="D119" s="428"/>
      <c r="E119" s="428"/>
      <c r="F119" s="428"/>
      <c r="G119" s="428"/>
      <c r="H119" s="122">
        <v>0.03</v>
      </c>
      <c r="I119" s="152">
        <f>TRUNC(H119*(I118+I142),2)</f>
        <v>211.83</v>
      </c>
      <c r="J119" s="3"/>
      <c r="K119" s="30"/>
    </row>
    <row r="120" spans="1:11" s="12" customFormat="1" x14ac:dyDescent="0.2">
      <c r="A120" s="126" t="s">
        <v>4</v>
      </c>
      <c r="B120" s="434" t="s">
        <v>98</v>
      </c>
      <c r="C120" s="434"/>
      <c r="D120" s="434"/>
      <c r="E120" s="434"/>
      <c r="F120" s="434"/>
      <c r="G120" s="434"/>
      <c r="H120" s="2"/>
      <c r="I120" s="152"/>
      <c r="J120" s="3"/>
      <c r="K120" s="30"/>
    </row>
    <row r="121" spans="1:11" s="12" customFormat="1" x14ac:dyDescent="0.2">
      <c r="A121" s="126" t="s">
        <v>99</v>
      </c>
      <c r="B121" s="428" t="s">
        <v>100</v>
      </c>
      <c r="C121" s="428"/>
      <c r="D121" s="428"/>
      <c r="E121" s="428"/>
      <c r="F121" s="428"/>
      <c r="G121" s="428"/>
      <c r="H121" s="20">
        <v>1.6500000000000001E-2</v>
      </c>
      <c r="I121" s="152">
        <f>TRUNC(H121*I131,2)</f>
        <v>139.94</v>
      </c>
      <c r="J121" s="3"/>
      <c r="K121" s="30"/>
    </row>
    <row r="122" spans="1:11" s="12" customFormat="1" x14ac:dyDescent="0.2">
      <c r="A122" s="126" t="s">
        <v>101</v>
      </c>
      <c r="B122" s="428" t="s">
        <v>102</v>
      </c>
      <c r="C122" s="428"/>
      <c r="D122" s="428"/>
      <c r="E122" s="428"/>
      <c r="F122" s="428"/>
      <c r="G122" s="428"/>
      <c r="H122" s="20">
        <v>7.5999999999999998E-2</v>
      </c>
      <c r="I122" s="152">
        <f>TRUNC(H122*I131,2)</f>
        <v>644.6</v>
      </c>
      <c r="J122" s="3"/>
      <c r="K122" s="30"/>
    </row>
    <row r="123" spans="1:11" s="12" customFormat="1" x14ac:dyDescent="0.2">
      <c r="A123" s="126" t="s">
        <v>103</v>
      </c>
      <c r="B123" s="428" t="s">
        <v>104</v>
      </c>
      <c r="C123" s="428"/>
      <c r="D123" s="428"/>
      <c r="E123" s="428"/>
      <c r="F123" s="428"/>
      <c r="G123" s="428"/>
      <c r="H123" s="20">
        <v>0.05</v>
      </c>
      <c r="I123" s="152">
        <f>TRUNC(H123*I131,2)</f>
        <v>424.08</v>
      </c>
      <c r="J123" s="3"/>
      <c r="K123" s="40"/>
    </row>
    <row r="124" spans="1:11" s="12" customFormat="1" x14ac:dyDescent="0.2">
      <c r="A124" s="427" t="s">
        <v>105</v>
      </c>
      <c r="B124" s="427"/>
      <c r="C124" s="427"/>
      <c r="D124" s="427"/>
      <c r="E124" s="427"/>
      <c r="F124" s="427"/>
      <c r="G124" s="427"/>
      <c r="H124" s="123">
        <f>SUM(H118:H123)</f>
        <v>0.20250000000000001</v>
      </c>
      <c r="I124" s="154">
        <f>TRUNC(SUM(I118:I123),2)</f>
        <v>1626.11</v>
      </c>
      <c r="J124" s="3"/>
      <c r="K124" s="30"/>
    </row>
    <row r="125" spans="1:11" s="12" customFormat="1" x14ac:dyDescent="0.2">
      <c r="A125" s="125"/>
      <c r="B125" s="432"/>
      <c r="C125" s="432"/>
      <c r="D125" s="432"/>
      <c r="E125" s="432"/>
      <c r="F125" s="432"/>
      <c r="G125" s="432"/>
      <c r="H125" s="432"/>
      <c r="I125" s="432"/>
      <c r="K125" s="30"/>
    </row>
    <row r="126" spans="1:11" s="12" customFormat="1" hidden="1" x14ac:dyDescent="0.2">
      <c r="A126" s="21" t="s">
        <v>106</v>
      </c>
      <c r="B126" s="491" t="s">
        <v>107</v>
      </c>
      <c r="C126" s="491"/>
      <c r="D126" s="491"/>
      <c r="E126" s="491"/>
      <c r="F126" s="491"/>
      <c r="G126" s="491"/>
      <c r="H126" s="22">
        <f>TRUNC(H121+H122+H123,4)</f>
        <v>0.14249999999999999</v>
      </c>
      <c r="I126" s="172"/>
      <c r="K126" s="30"/>
    </row>
    <row r="127" spans="1:11" s="12" customFormat="1" hidden="1" x14ac:dyDescent="0.2">
      <c r="A127" s="23"/>
      <c r="B127" s="488">
        <v>100</v>
      </c>
      <c r="C127" s="488"/>
      <c r="D127" s="488"/>
      <c r="E127" s="488"/>
      <c r="F127" s="488"/>
      <c r="G127" s="488"/>
      <c r="H127" s="24"/>
      <c r="I127" s="174"/>
      <c r="K127" s="30"/>
    </row>
    <row r="128" spans="1:11" s="12" customFormat="1" hidden="1" x14ac:dyDescent="0.2">
      <c r="A128" s="25"/>
      <c r="B128" s="131"/>
      <c r="C128" s="131"/>
      <c r="D128" s="131"/>
      <c r="E128" s="131"/>
      <c r="F128" s="131"/>
      <c r="G128" s="131"/>
      <c r="H128" s="24"/>
      <c r="I128" s="174"/>
      <c r="K128" s="30"/>
    </row>
    <row r="129" spans="1:11" s="12" customFormat="1" hidden="1" x14ac:dyDescent="0.2">
      <c r="A129" s="23" t="s">
        <v>108</v>
      </c>
      <c r="B129" s="488" t="s">
        <v>109</v>
      </c>
      <c r="C129" s="488"/>
      <c r="D129" s="488"/>
      <c r="E129" s="488"/>
      <c r="F129" s="488"/>
      <c r="G129" s="488"/>
      <c r="H129" s="24"/>
      <c r="I129" s="174">
        <f>TRUNC(I142+I118+I119,2)</f>
        <v>7273.06</v>
      </c>
      <c r="K129" s="30"/>
    </row>
    <row r="130" spans="1:11" s="12" customFormat="1" hidden="1" x14ac:dyDescent="0.2">
      <c r="A130" s="23"/>
      <c r="B130" s="131"/>
      <c r="C130" s="131"/>
      <c r="D130" s="131"/>
      <c r="E130" s="131"/>
      <c r="F130" s="131"/>
      <c r="G130" s="131"/>
      <c r="H130" s="24"/>
      <c r="I130" s="174"/>
      <c r="K130" s="30"/>
    </row>
    <row r="131" spans="1:11" s="12" customFormat="1" hidden="1" x14ac:dyDescent="0.2">
      <c r="A131" s="23" t="s">
        <v>110</v>
      </c>
      <c r="B131" s="488" t="s">
        <v>111</v>
      </c>
      <c r="C131" s="488"/>
      <c r="D131" s="488"/>
      <c r="E131" s="488"/>
      <c r="F131" s="488"/>
      <c r="G131" s="488"/>
      <c r="H131" s="24"/>
      <c r="I131" s="174">
        <f>TRUNC(I129/(1-H126),2)</f>
        <v>8481.7000000000007</v>
      </c>
      <c r="K131" s="30"/>
    </row>
    <row r="132" spans="1:11" s="12" customFormat="1" hidden="1" x14ac:dyDescent="0.2">
      <c r="A132" s="23"/>
      <c r="B132" s="131"/>
      <c r="C132" s="131"/>
      <c r="D132" s="131"/>
      <c r="E132" s="131"/>
      <c r="F132" s="131"/>
      <c r="G132" s="131"/>
      <c r="H132" s="24"/>
      <c r="I132" s="174"/>
      <c r="K132" s="30"/>
    </row>
    <row r="133" spans="1:11" s="12" customFormat="1" hidden="1" x14ac:dyDescent="0.2">
      <c r="A133" s="26"/>
      <c r="B133" s="489" t="s">
        <v>112</v>
      </c>
      <c r="C133" s="489"/>
      <c r="D133" s="489"/>
      <c r="E133" s="489"/>
      <c r="F133" s="489"/>
      <c r="G133" s="489"/>
      <c r="H133" s="27"/>
      <c r="I133" s="177">
        <f>TRUNC(I131-I129,2)</f>
        <v>1208.6400000000001</v>
      </c>
      <c r="K133" s="28"/>
    </row>
    <row r="134" spans="1:11" s="12" customFormat="1" ht="2.25" customHeight="1" x14ac:dyDescent="0.2">
      <c r="A134" s="125"/>
      <c r="B134" s="125"/>
      <c r="C134" s="125"/>
      <c r="D134" s="125"/>
      <c r="E134" s="125"/>
      <c r="F134" s="125"/>
      <c r="G134" s="125"/>
      <c r="H134" s="125"/>
      <c r="I134" s="178"/>
      <c r="K134" s="30"/>
    </row>
    <row r="135" spans="1:11" s="12" customFormat="1" x14ac:dyDescent="0.2">
      <c r="A135" s="490" t="s">
        <v>113</v>
      </c>
      <c r="B135" s="490"/>
      <c r="C135" s="490"/>
      <c r="D135" s="490"/>
      <c r="E135" s="490"/>
      <c r="F135" s="490"/>
      <c r="G135" s="490"/>
      <c r="H135" s="490"/>
      <c r="I135" s="490"/>
      <c r="K135" s="29"/>
    </row>
    <row r="136" spans="1:11" s="12" customFormat="1" x14ac:dyDescent="0.2">
      <c r="A136" s="427" t="s">
        <v>114</v>
      </c>
      <c r="B136" s="427"/>
      <c r="C136" s="427"/>
      <c r="D136" s="427"/>
      <c r="E136" s="427"/>
      <c r="F136" s="427"/>
      <c r="G136" s="427"/>
      <c r="H136" s="427"/>
      <c r="I136" s="150" t="s">
        <v>19</v>
      </c>
      <c r="K136" s="30"/>
    </row>
    <row r="137" spans="1:11" s="12" customFormat="1" x14ac:dyDescent="0.2">
      <c r="A137" s="124" t="s">
        <v>1</v>
      </c>
      <c r="B137" s="428" t="str">
        <f>A27</f>
        <v>MÓDULO 1 - COMPOSIÇÃO DA REMUNERAÇÃO</v>
      </c>
      <c r="C137" s="428"/>
      <c r="D137" s="428"/>
      <c r="E137" s="428"/>
      <c r="F137" s="428"/>
      <c r="G137" s="428"/>
      <c r="H137" s="428"/>
      <c r="I137" s="152">
        <f>I35</f>
        <v>3419.02</v>
      </c>
      <c r="K137" s="30"/>
    </row>
    <row r="138" spans="1:11" s="12" customFormat="1" x14ac:dyDescent="0.2">
      <c r="A138" s="124" t="s">
        <v>2</v>
      </c>
      <c r="B138" s="428" t="str">
        <f>A37</f>
        <v>MÓDULO 2 – ENCARGOS E BENEFÍCIOS ANUAIS, MENSAIS E DIÁRIOS</v>
      </c>
      <c r="C138" s="428"/>
      <c r="D138" s="428"/>
      <c r="E138" s="428"/>
      <c r="F138" s="428"/>
      <c r="G138" s="428"/>
      <c r="H138" s="428"/>
      <c r="I138" s="152">
        <f>I78</f>
        <v>3006.55</v>
      </c>
      <c r="K138" s="30"/>
    </row>
    <row r="139" spans="1:11" s="12" customFormat="1" x14ac:dyDescent="0.2">
      <c r="A139" s="124" t="s">
        <v>4</v>
      </c>
      <c r="B139" s="428" t="str">
        <f>A80</f>
        <v>MÓDULO 3 – PROVISÃO PARA RESCISÃO</v>
      </c>
      <c r="C139" s="428"/>
      <c r="D139" s="428"/>
      <c r="E139" s="428"/>
      <c r="F139" s="428"/>
      <c r="G139" s="428"/>
      <c r="H139" s="428"/>
      <c r="I139" s="152">
        <f>I87</f>
        <v>246.47</v>
      </c>
      <c r="K139" s="29"/>
    </row>
    <row r="140" spans="1:11" s="12" customFormat="1" x14ac:dyDescent="0.2">
      <c r="A140" s="124" t="s">
        <v>6</v>
      </c>
      <c r="B140" s="428" t="str">
        <f>A89</f>
        <v>MÓDULO 4 – CUSTO DE REPOSIÇÃO DO PROFISSIONAL AUSENTE</v>
      </c>
      <c r="C140" s="428"/>
      <c r="D140" s="428"/>
      <c r="E140" s="428"/>
      <c r="F140" s="428"/>
      <c r="G140" s="428"/>
      <c r="H140" s="428"/>
      <c r="I140" s="152">
        <f>I107</f>
        <v>66.349999999999994</v>
      </c>
      <c r="K140" s="29"/>
    </row>
    <row r="141" spans="1:11" s="12" customFormat="1" x14ac:dyDescent="0.2">
      <c r="A141" s="124" t="s">
        <v>23</v>
      </c>
      <c r="B141" s="428" t="str">
        <f>A109</f>
        <v>MÓDULO 5 – INSUMOS DIVERSOS</v>
      </c>
      <c r="C141" s="428"/>
      <c r="D141" s="428"/>
      <c r="E141" s="428"/>
      <c r="F141" s="428"/>
      <c r="G141" s="428"/>
      <c r="H141" s="428"/>
      <c r="I141" s="152">
        <f>I114</f>
        <v>117.18</v>
      </c>
      <c r="K141" s="30"/>
    </row>
    <row r="142" spans="1:11" s="12" customFormat="1" x14ac:dyDescent="0.2">
      <c r="A142" s="126"/>
      <c r="B142" s="427" t="s">
        <v>115</v>
      </c>
      <c r="C142" s="427"/>
      <c r="D142" s="427"/>
      <c r="E142" s="427"/>
      <c r="F142" s="427"/>
      <c r="G142" s="427"/>
      <c r="H142" s="427"/>
      <c r="I142" s="152">
        <f>TRUNC(SUM(I137:I141),2)</f>
        <v>6855.57</v>
      </c>
      <c r="J142" s="40"/>
      <c r="K142" s="28"/>
    </row>
    <row r="143" spans="1:11" s="12" customFormat="1" x14ac:dyDescent="0.2">
      <c r="A143" s="124" t="s">
        <v>25</v>
      </c>
      <c r="B143" s="428" t="str">
        <f>A116</f>
        <v>MÓDULO 6 – CUSTOS INDIRETOS, TRIBUTOS E LUCRO</v>
      </c>
      <c r="C143" s="428"/>
      <c r="D143" s="428"/>
      <c r="E143" s="428"/>
      <c r="F143" s="428"/>
      <c r="G143" s="428"/>
      <c r="H143" s="428"/>
      <c r="I143" s="152">
        <f>I124</f>
        <v>1626.11</v>
      </c>
    </row>
    <row r="144" spans="1:11" s="12" customFormat="1" x14ac:dyDescent="0.2">
      <c r="A144" s="427" t="s">
        <v>116</v>
      </c>
      <c r="B144" s="427"/>
      <c r="C144" s="427"/>
      <c r="D144" s="427"/>
      <c r="E144" s="427"/>
      <c r="F144" s="427"/>
      <c r="G144" s="427"/>
      <c r="H144" s="427"/>
      <c r="I144" s="179">
        <f>TRUNC(SUM(I142:I143),2)</f>
        <v>8481.68</v>
      </c>
      <c r="J144" s="56"/>
      <c r="K144" s="56"/>
    </row>
    <row r="145" spans="1:9" s="12" customFormat="1" x14ac:dyDescent="0.2">
      <c r="A145" s="30"/>
      <c r="B145" s="30"/>
      <c r="C145" s="30"/>
      <c r="D145" s="30"/>
      <c r="E145" s="30"/>
      <c r="F145" s="30"/>
      <c r="G145" s="30"/>
      <c r="H145" s="30"/>
      <c r="I145" s="181"/>
    </row>
  </sheetData>
  <mergeCells count="148">
    <mergeCell ref="A1:I1"/>
    <mergeCell ref="A2:I2"/>
    <mergeCell ref="A3:I3"/>
    <mergeCell ref="A4:I4"/>
    <mergeCell ref="A6:I6"/>
    <mergeCell ref="B139:H139"/>
    <mergeCell ref="B140:H140"/>
    <mergeCell ref="B141:H141"/>
    <mergeCell ref="B142:H142"/>
    <mergeCell ref="B117:G117"/>
    <mergeCell ref="B118:G118"/>
    <mergeCell ref="B119:G119"/>
    <mergeCell ref="B120:G120"/>
    <mergeCell ref="B121:G121"/>
    <mergeCell ref="B122:G122"/>
    <mergeCell ref="B112:G112"/>
    <mergeCell ref="B113:G113"/>
    <mergeCell ref="A114:G114"/>
    <mergeCell ref="A115:I115"/>
    <mergeCell ref="A116:I116"/>
    <mergeCell ref="B106:H106"/>
    <mergeCell ref="A107:H107"/>
    <mergeCell ref="A108:I108"/>
    <mergeCell ref="A109:I109"/>
    <mergeCell ref="B143:H143"/>
    <mergeCell ref="A144:H144"/>
    <mergeCell ref="B131:G131"/>
    <mergeCell ref="B133:G133"/>
    <mergeCell ref="A135:I135"/>
    <mergeCell ref="A136:H136"/>
    <mergeCell ref="B137:H137"/>
    <mergeCell ref="B138:H138"/>
    <mergeCell ref="B123:G123"/>
    <mergeCell ref="A124:G124"/>
    <mergeCell ref="B125:I125"/>
    <mergeCell ref="B126:G126"/>
    <mergeCell ref="B127:G127"/>
    <mergeCell ref="B129:G129"/>
    <mergeCell ref="B110:G110"/>
    <mergeCell ref="B111:G111"/>
    <mergeCell ref="B100:G100"/>
    <mergeCell ref="A101:G101"/>
    <mergeCell ref="A102:I102"/>
    <mergeCell ref="A103:I103"/>
    <mergeCell ref="A104:H104"/>
    <mergeCell ref="B105:H105"/>
    <mergeCell ref="B94:G94"/>
    <mergeCell ref="B95:G95"/>
    <mergeCell ref="B96:G96"/>
    <mergeCell ref="A97:G97"/>
    <mergeCell ref="A98:I98"/>
    <mergeCell ref="A99:G99"/>
    <mergeCell ref="A88:I88"/>
    <mergeCell ref="A89:I89"/>
    <mergeCell ref="A90:G90"/>
    <mergeCell ref="B91:G91"/>
    <mergeCell ref="B92:G92"/>
    <mergeCell ref="B93:G93"/>
    <mergeCell ref="B83:G83"/>
    <mergeCell ref="B84:G84"/>
    <mergeCell ref="B85:G85"/>
    <mergeCell ref="B86:G86"/>
    <mergeCell ref="A87:G87"/>
    <mergeCell ref="B76:H76"/>
    <mergeCell ref="B77:H77"/>
    <mergeCell ref="A78:H78"/>
    <mergeCell ref="A80:I80"/>
    <mergeCell ref="B81:G81"/>
    <mergeCell ref="B82:G82"/>
    <mergeCell ref="A70:I70"/>
    <mergeCell ref="A71:I71"/>
    <mergeCell ref="A72:I72"/>
    <mergeCell ref="A73:I73"/>
    <mergeCell ref="A74:H74"/>
    <mergeCell ref="B75:H75"/>
    <mergeCell ref="B65:G65"/>
    <mergeCell ref="B66:G66"/>
    <mergeCell ref="A67:H67"/>
    <mergeCell ref="A68:I68"/>
    <mergeCell ref="A69:I69"/>
    <mergeCell ref="J69:P69"/>
    <mergeCell ref="A59:I59"/>
    <mergeCell ref="A60:G60"/>
    <mergeCell ref="B61:G61"/>
    <mergeCell ref="B62:G62"/>
    <mergeCell ref="B63:G63"/>
    <mergeCell ref="B64:G64"/>
    <mergeCell ref="B53:G53"/>
    <mergeCell ref="B54:G54"/>
    <mergeCell ref="B55:G55"/>
    <mergeCell ref="B56:G56"/>
    <mergeCell ref="B57:G57"/>
    <mergeCell ref="A58:G58"/>
    <mergeCell ref="A47:I47"/>
    <mergeCell ref="A48:G48"/>
    <mergeCell ref="B49:G49"/>
    <mergeCell ref="B50:G50"/>
    <mergeCell ref="B51:G52"/>
    <mergeCell ref="I51:I52"/>
    <mergeCell ref="B40:G40"/>
    <mergeCell ref="B42:G42"/>
    <mergeCell ref="A44:I44"/>
    <mergeCell ref="A45:I45"/>
    <mergeCell ref="A46:I46"/>
    <mergeCell ref="B34:G34"/>
    <mergeCell ref="A35:H35"/>
    <mergeCell ref="A36:I36"/>
    <mergeCell ref="A37:I37"/>
    <mergeCell ref="A38:G38"/>
    <mergeCell ref="B39:G39"/>
    <mergeCell ref="A41:G41"/>
    <mergeCell ref="A43:G43"/>
    <mergeCell ref="B28:G28"/>
    <mergeCell ref="B29:G29"/>
    <mergeCell ref="B30:G30"/>
    <mergeCell ref="B31:G31"/>
    <mergeCell ref="B32:G32"/>
    <mergeCell ref="B33:G33"/>
    <mergeCell ref="B24:G24"/>
    <mergeCell ref="H24:I24"/>
    <mergeCell ref="B25:G25"/>
    <mergeCell ref="H25:I25"/>
    <mergeCell ref="A26:I26"/>
    <mergeCell ref="A27:I27"/>
    <mergeCell ref="A20:I20"/>
    <mergeCell ref="B21:G21"/>
    <mergeCell ref="H21:I21"/>
    <mergeCell ref="B22:G22"/>
    <mergeCell ref="H22:I22"/>
    <mergeCell ref="B23:G23"/>
    <mergeCell ref="H23:I23"/>
    <mergeCell ref="A8:I8"/>
    <mergeCell ref="A10:I10"/>
    <mergeCell ref="B11:G11"/>
    <mergeCell ref="H11:I11"/>
    <mergeCell ref="A16:I16"/>
    <mergeCell ref="A17:B17"/>
    <mergeCell ref="C17:D17"/>
    <mergeCell ref="E17:I17"/>
    <mergeCell ref="A18:B18"/>
    <mergeCell ref="C18:D18"/>
    <mergeCell ref="E18:I18"/>
    <mergeCell ref="B12:G12"/>
    <mergeCell ref="H12:I12"/>
    <mergeCell ref="B13:G13"/>
    <mergeCell ref="H13:I13"/>
    <mergeCell ref="B14:G14"/>
    <mergeCell ref="H14:I14"/>
  </mergeCells>
  <pageMargins left="0.51181102362204722" right="0.51181102362204722" top="1.6535433070866143" bottom="1.299212598425197" header="0.11811023622047245" footer="0.31496062992125984"/>
  <pageSetup paperSize="9" scale="74" orientation="portrait" r:id="rId1"/>
  <rowBreaks count="1" manualBreakCount="1">
    <brk id="71"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K145"/>
  <sheetViews>
    <sheetView view="pageBreakPreview" topLeftCell="A7" zoomScale="140" zoomScaleNormal="100" zoomScaleSheetLayoutView="140" workbookViewId="0">
      <selection activeCell="H22" sqref="H22:I22"/>
    </sheetView>
  </sheetViews>
  <sheetFormatPr defaultRowHeight="12.75" x14ac:dyDescent="0.2"/>
  <cols>
    <col min="1" max="1" width="9.140625" style="12"/>
    <col min="2" max="2" width="11.7109375" style="12" customWidth="1"/>
    <col min="3" max="6" width="9.140625" style="12"/>
    <col min="7" max="7" width="13.42578125" style="12" customWidth="1"/>
    <col min="8" max="8" width="14.140625" style="12" customWidth="1"/>
    <col min="9" max="9" width="16.42578125" style="180" bestFit="1" customWidth="1"/>
    <col min="10" max="10" width="9.140625" style="12"/>
    <col min="11" max="11" width="14.28515625" style="12" bestFit="1" customWidth="1"/>
    <col min="12" max="12" width="9.140625" style="12"/>
    <col min="13" max="13" width="13.7109375" style="12" bestFit="1" customWidth="1"/>
    <col min="14" max="1025" width="9.140625" style="12"/>
    <col min="1026" max="16384" width="9.140625" style="30"/>
  </cols>
  <sheetData>
    <row r="1" spans="1:15" x14ac:dyDescent="0.2">
      <c r="A1" s="479" t="s">
        <v>318</v>
      </c>
      <c r="B1" s="479"/>
      <c r="C1" s="479"/>
      <c r="D1" s="479"/>
      <c r="E1" s="479"/>
      <c r="F1" s="479"/>
      <c r="G1" s="479"/>
      <c r="H1" s="479"/>
      <c r="I1" s="479"/>
    </row>
    <row r="2" spans="1:15" x14ac:dyDescent="0.2">
      <c r="A2" s="479" t="s">
        <v>319</v>
      </c>
      <c r="B2" s="479"/>
      <c r="C2" s="479"/>
      <c r="D2" s="479"/>
      <c r="E2" s="479"/>
      <c r="F2" s="479"/>
      <c r="G2" s="479"/>
      <c r="H2" s="479"/>
      <c r="I2" s="479"/>
    </row>
    <row r="3" spans="1:15" x14ac:dyDescent="0.2">
      <c r="A3" s="479" t="s">
        <v>320</v>
      </c>
      <c r="B3" s="479"/>
      <c r="C3" s="479"/>
      <c r="D3" s="479"/>
      <c r="E3" s="479"/>
      <c r="F3" s="479"/>
      <c r="G3" s="479"/>
      <c r="H3" s="479"/>
      <c r="I3" s="479"/>
    </row>
    <row r="4" spans="1:15" s="12" customFormat="1" ht="12.75" customHeight="1" x14ac:dyDescent="0.2">
      <c r="A4" s="470"/>
      <c r="B4" s="470"/>
      <c r="C4" s="470"/>
      <c r="D4" s="470"/>
      <c r="E4" s="470"/>
      <c r="F4" s="470"/>
      <c r="G4" s="470"/>
      <c r="H4" s="470"/>
      <c r="I4" s="470"/>
      <c r="J4" s="30"/>
      <c r="K4" s="30"/>
      <c r="L4" s="30"/>
      <c r="M4" s="30"/>
      <c r="O4" s="30"/>
    </row>
    <row r="5" spans="1:15" s="12" customFormat="1" ht="12.75" customHeight="1" x14ac:dyDescent="0.2">
      <c r="A5" s="125"/>
      <c r="B5" s="125"/>
      <c r="C5" s="125"/>
      <c r="D5" s="125"/>
      <c r="E5" s="125"/>
      <c r="F5" s="125"/>
      <c r="G5" s="125"/>
      <c r="H5" s="125"/>
      <c r="I5" s="182"/>
      <c r="J5" s="30"/>
      <c r="K5" s="30"/>
      <c r="L5" s="30"/>
      <c r="M5" s="30"/>
      <c r="O5" s="30"/>
    </row>
    <row r="6" spans="1:15" s="12" customFormat="1" ht="12.75" customHeight="1" x14ac:dyDescent="0.2">
      <c r="A6" s="480" t="s">
        <v>347</v>
      </c>
      <c r="B6" s="480"/>
      <c r="C6" s="480"/>
      <c r="D6" s="480"/>
      <c r="E6" s="480"/>
      <c r="F6" s="480"/>
      <c r="G6" s="480"/>
      <c r="H6" s="480"/>
      <c r="I6" s="480"/>
      <c r="J6" s="30"/>
      <c r="K6" s="30"/>
      <c r="L6" s="30"/>
      <c r="M6" s="30"/>
      <c r="O6" s="30"/>
    </row>
    <row r="7" spans="1:15" s="12" customFormat="1" ht="12.75" customHeight="1" x14ac:dyDescent="0.2">
      <c r="A7" s="134"/>
      <c r="B7" s="134"/>
      <c r="C7" s="134"/>
      <c r="D7" s="134"/>
      <c r="E7" s="134"/>
      <c r="F7" s="134"/>
      <c r="G7" s="134"/>
      <c r="H7" s="134"/>
      <c r="I7" s="147"/>
      <c r="J7" s="30"/>
      <c r="K7" s="30"/>
      <c r="L7" s="30"/>
      <c r="M7" s="30"/>
      <c r="O7" s="30"/>
    </row>
    <row r="8" spans="1:15" s="12" customFormat="1" ht="12.75" customHeight="1" x14ac:dyDescent="0.2">
      <c r="A8" s="492" t="s">
        <v>461</v>
      </c>
      <c r="B8" s="492"/>
      <c r="C8" s="492"/>
      <c r="D8" s="492"/>
      <c r="E8" s="492"/>
      <c r="F8" s="492"/>
      <c r="G8" s="492"/>
      <c r="H8" s="492"/>
      <c r="I8" s="492"/>
      <c r="J8" s="30"/>
      <c r="K8" s="30"/>
      <c r="L8" s="30"/>
      <c r="M8" s="30"/>
      <c r="O8" s="30"/>
    </row>
    <row r="9" spans="1:15" s="12" customFormat="1" x14ac:dyDescent="0.2">
      <c r="A9" s="1"/>
      <c r="B9" s="1"/>
      <c r="C9" s="1"/>
      <c r="D9" s="1"/>
      <c r="E9" s="1"/>
      <c r="F9" s="1"/>
      <c r="G9" s="1"/>
      <c r="H9" s="1"/>
      <c r="I9" s="148"/>
      <c r="J9" s="30"/>
      <c r="K9" s="30"/>
      <c r="L9" s="30"/>
      <c r="M9" s="30"/>
      <c r="O9" s="30"/>
    </row>
    <row r="10" spans="1:15" s="12" customFormat="1" x14ac:dyDescent="0.2">
      <c r="A10" s="473" t="s">
        <v>0</v>
      </c>
      <c r="B10" s="473"/>
      <c r="C10" s="473"/>
      <c r="D10" s="473"/>
      <c r="E10" s="473"/>
      <c r="F10" s="473"/>
      <c r="G10" s="473"/>
      <c r="H10" s="473"/>
      <c r="I10" s="473"/>
      <c r="J10" s="30"/>
      <c r="K10" s="30"/>
      <c r="L10" s="30"/>
      <c r="M10" s="30"/>
      <c r="O10" s="30"/>
    </row>
    <row r="11" spans="1:15" s="12" customFormat="1" x14ac:dyDescent="0.2">
      <c r="A11" s="124" t="s">
        <v>1</v>
      </c>
      <c r="B11" s="428" t="s">
        <v>315</v>
      </c>
      <c r="C11" s="428"/>
      <c r="D11" s="428"/>
      <c r="E11" s="428"/>
      <c r="F11" s="428"/>
      <c r="G11" s="428"/>
      <c r="H11" s="478" t="s">
        <v>463</v>
      </c>
      <c r="I11" s="478"/>
      <c r="J11" s="30"/>
      <c r="K11" s="30"/>
      <c r="L11" s="30"/>
      <c r="M11" s="30"/>
      <c r="O11" s="30"/>
    </row>
    <row r="12" spans="1:15" s="12" customFormat="1" x14ac:dyDescent="0.2">
      <c r="A12" s="124" t="s">
        <v>2</v>
      </c>
      <c r="B12" s="428" t="s">
        <v>3</v>
      </c>
      <c r="C12" s="428"/>
      <c r="D12" s="428"/>
      <c r="E12" s="428"/>
      <c r="F12" s="428"/>
      <c r="G12" s="428"/>
      <c r="H12" s="471" t="s">
        <v>118</v>
      </c>
      <c r="I12" s="471"/>
      <c r="J12" s="30"/>
      <c r="K12" s="30"/>
      <c r="L12" s="30"/>
      <c r="M12" s="30"/>
      <c r="O12" s="30"/>
    </row>
    <row r="13" spans="1:15" s="12" customFormat="1" x14ac:dyDescent="0.2">
      <c r="A13" s="124" t="s">
        <v>4</v>
      </c>
      <c r="B13" s="428" t="s">
        <v>5</v>
      </c>
      <c r="C13" s="428"/>
      <c r="D13" s="428"/>
      <c r="E13" s="428"/>
      <c r="F13" s="428"/>
      <c r="G13" s="428"/>
      <c r="H13" s="481" t="s">
        <v>480</v>
      </c>
      <c r="I13" s="481"/>
      <c r="J13" s="30"/>
      <c r="K13" s="30"/>
      <c r="L13" s="30"/>
      <c r="M13" s="30"/>
      <c r="O13" s="30"/>
    </row>
    <row r="14" spans="1:15" s="12" customFormat="1" x14ac:dyDescent="0.2">
      <c r="A14" s="124" t="s">
        <v>6</v>
      </c>
      <c r="B14" s="428" t="s">
        <v>7</v>
      </c>
      <c r="C14" s="428"/>
      <c r="D14" s="428"/>
      <c r="E14" s="428"/>
      <c r="F14" s="428"/>
      <c r="G14" s="428"/>
      <c r="H14" s="471">
        <v>12</v>
      </c>
      <c r="I14" s="471"/>
      <c r="J14" s="30"/>
      <c r="K14" s="30"/>
      <c r="L14" s="30"/>
      <c r="M14" s="30"/>
      <c r="O14" s="30"/>
    </row>
    <row r="15" spans="1:15" s="12" customFormat="1" x14ac:dyDescent="0.2">
      <c r="A15" s="125"/>
      <c r="B15" s="130"/>
      <c r="C15" s="130"/>
      <c r="D15" s="130"/>
      <c r="E15" s="130"/>
      <c r="F15" s="130"/>
      <c r="G15" s="130"/>
      <c r="H15" s="125"/>
      <c r="I15" s="182"/>
      <c r="J15" s="30"/>
      <c r="K15" s="30"/>
      <c r="L15" s="30"/>
      <c r="M15" s="30"/>
      <c r="O15" s="30"/>
    </row>
    <row r="16" spans="1:15" s="12" customFormat="1" x14ac:dyDescent="0.2">
      <c r="A16" s="473" t="s">
        <v>8</v>
      </c>
      <c r="B16" s="473"/>
      <c r="C16" s="473"/>
      <c r="D16" s="473"/>
      <c r="E16" s="473"/>
      <c r="F16" s="473"/>
      <c r="G16" s="473"/>
      <c r="H16" s="473"/>
      <c r="I16" s="473"/>
      <c r="J16" s="30"/>
      <c r="K16" s="30"/>
      <c r="L16" s="30"/>
      <c r="M16" s="30"/>
      <c r="O16" s="30"/>
    </row>
    <row r="17" spans="1:15" s="12" customFormat="1" x14ac:dyDescent="0.2">
      <c r="A17" s="471" t="s">
        <v>9</v>
      </c>
      <c r="B17" s="471"/>
      <c r="C17" s="471" t="s">
        <v>10</v>
      </c>
      <c r="D17" s="471"/>
      <c r="E17" s="471" t="s">
        <v>11</v>
      </c>
      <c r="F17" s="471"/>
      <c r="G17" s="471"/>
      <c r="H17" s="471"/>
      <c r="I17" s="471"/>
      <c r="J17" s="30"/>
      <c r="K17" s="30"/>
      <c r="L17" s="30"/>
      <c r="M17" s="30"/>
      <c r="O17" s="30"/>
    </row>
    <row r="18" spans="1:15" s="12" customFormat="1" ht="31.5" customHeight="1" x14ac:dyDescent="0.2">
      <c r="A18" s="474" t="s">
        <v>468</v>
      </c>
      <c r="B18" s="475"/>
      <c r="C18" s="476" t="s">
        <v>368</v>
      </c>
      <c r="D18" s="476"/>
      <c r="E18" s="476">
        <v>6</v>
      </c>
      <c r="F18" s="476"/>
      <c r="G18" s="476"/>
      <c r="H18" s="476"/>
      <c r="I18" s="476"/>
      <c r="J18" s="30"/>
      <c r="K18" s="30"/>
      <c r="L18" s="30"/>
      <c r="M18" s="30"/>
      <c r="O18" s="30"/>
    </row>
    <row r="19" spans="1:15" s="12" customFormat="1" x14ac:dyDescent="0.2">
      <c r="A19" s="125"/>
      <c r="B19" s="130"/>
      <c r="C19" s="130"/>
      <c r="D19" s="130"/>
      <c r="E19" s="130"/>
      <c r="F19" s="130"/>
      <c r="G19" s="130"/>
      <c r="H19" s="125"/>
      <c r="I19" s="182"/>
      <c r="J19" s="30"/>
      <c r="K19" s="30"/>
      <c r="L19" s="30"/>
      <c r="M19" s="30"/>
      <c r="O19" s="30"/>
    </row>
    <row r="20" spans="1:15" s="12" customFormat="1" x14ac:dyDescent="0.2">
      <c r="A20" s="473" t="s">
        <v>330</v>
      </c>
      <c r="B20" s="473"/>
      <c r="C20" s="473"/>
      <c r="D20" s="473"/>
      <c r="E20" s="473"/>
      <c r="F20" s="473"/>
      <c r="G20" s="473"/>
      <c r="H20" s="473"/>
      <c r="I20" s="473"/>
      <c r="J20" s="30"/>
      <c r="K20" s="30"/>
      <c r="L20" s="30"/>
      <c r="M20" s="30"/>
      <c r="O20" s="30"/>
    </row>
    <row r="21" spans="1:15" s="12" customFormat="1" ht="24.75" customHeight="1" x14ac:dyDescent="0.2">
      <c r="A21" s="124">
        <v>1</v>
      </c>
      <c r="B21" s="428" t="s">
        <v>12</v>
      </c>
      <c r="C21" s="428"/>
      <c r="D21" s="428"/>
      <c r="E21" s="428"/>
      <c r="F21" s="428"/>
      <c r="G21" s="428"/>
      <c r="H21" s="468" t="str">
        <f>A18</f>
        <v>VIGILANTE DIURNO 12x36 (Seg à Sexta)</v>
      </c>
      <c r="I21" s="468"/>
      <c r="J21" s="30"/>
      <c r="K21" s="30"/>
      <c r="L21" s="30"/>
      <c r="M21" s="30"/>
      <c r="O21" s="30"/>
    </row>
    <row r="22" spans="1:15" s="12" customFormat="1" x14ac:dyDescent="0.2">
      <c r="A22" s="124">
        <v>2</v>
      </c>
      <c r="B22" s="428" t="s">
        <v>13</v>
      </c>
      <c r="C22" s="428"/>
      <c r="D22" s="428"/>
      <c r="E22" s="428"/>
      <c r="F22" s="428"/>
      <c r="G22" s="428"/>
      <c r="H22" s="471"/>
      <c r="I22" s="471"/>
      <c r="J22" s="30"/>
      <c r="K22" s="30"/>
      <c r="L22" s="30"/>
      <c r="M22" s="30"/>
      <c r="O22" s="30"/>
    </row>
    <row r="23" spans="1:15" s="12" customFormat="1" x14ac:dyDescent="0.2">
      <c r="A23" s="124">
        <v>3</v>
      </c>
      <c r="B23" s="428" t="s">
        <v>326</v>
      </c>
      <c r="C23" s="428"/>
      <c r="D23" s="428"/>
      <c r="E23" s="428"/>
      <c r="F23" s="428"/>
      <c r="G23" s="428"/>
      <c r="H23" s="485">
        <v>2192.65</v>
      </c>
      <c r="I23" s="485"/>
      <c r="J23" s="30"/>
      <c r="K23" s="132"/>
      <c r="L23" s="30"/>
      <c r="M23" s="30"/>
      <c r="O23" s="30"/>
    </row>
    <row r="24" spans="1:15" s="12" customFormat="1" ht="27" customHeight="1" x14ac:dyDescent="0.2">
      <c r="A24" s="124">
        <v>4</v>
      </c>
      <c r="B24" s="428" t="s">
        <v>14</v>
      </c>
      <c r="C24" s="428"/>
      <c r="D24" s="428"/>
      <c r="E24" s="428"/>
      <c r="F24" s="428"/>
      <c r="G24" s="428"/>
      <c r="H24" s="468" t="str">
        <f>H21</f>
        <v>VIGILANTE DIURNO 12x36 (Seg à Sexta)</v>
      </c>
      <c r="I24" s="468"/>
      <c r="J24" s="30"/>
      <c r="K24" s="30"/>
      <c r="L24" s="30"/>
      <c r="M24" s="30"/>
      <c r="O24" s="30"/>
    </row>
    <row r="25" spans="1:15" s="12" customFormat="1" x14ac:dyDescent="0.2">
      <c r="A25" s="124">
        <v>5</v>
      </c>
      <c r="B25" s="428" t="s">
        <v>15</v>
      </c>
      <c r="C25" s="428"/>
      <c r="D25" s="428"/>
      <c r="E25" s="428"/>
      <c r="F25" s="428"/>
      <c r="G25" s="428"/>
      <c r="H25" s="469">
        <v>43466</v>
      </c>
      <c r="I25" s="469"/>
      <c r="J25" s="30"/>
      <c r="K25" s="30"/>
      <c r="L25" s="30"/>
      <c r="M25" s="30"/>
      <c r="O25" s="30"/>
    </row>
    <row r="26" spans="1:15" s="12" customFormat="1" x14ac:dyDescent="0.2">
      <c r="A26" s="470"/>
      <c r="B26" s="470"/>
      <c r="C26" s="470"/>
      <c r="D26" s="470"/>
      <c r="E26" s="470"/>
      <c r="F26" s="470"/>
      <c r="G26" s="470"/>
      <c r="H26" s="470"/>
      <c r="I26" s="470"/>
      <c r="J26" s="30"/>
      <c r="K26" s="30"/>
      <c r="L26" s="30"/>
      <c r="M26" s="30"/>
      <c r="O26" s="30"/>
    </row>
    <row r="27" spans="1:15" s="12" customFormat="1" x14ac:dyDescent="0.2">
      <c r="A27" s="431" t="s">
        <v>16</v>
      </c>
      <c r="B27" s="431"/>
      <c r="C27" s="431"/>
      <c r="D27" s="431"/>
      <c r="E27" s="431"/>
      <c r="F27" s="431"/>
      <c r="G27" s="431"/>
      <c r="H27" s="431"/>
      <c r="I27" s="431"/>
      <c r="J27" s="30"/>
      <c r="K27" s="30"/>
      <c r="L27" s="30"/>
      <c r="M27" s="30"/>
      <c r="O27" s="30"/>
    </row>
    <row r="28" spans="1:15" s="12" customFormat="1" x14ac:dyDescent="0.2">
      <c r="A28" s="126">
        <v>1</v>
      </c>
      <c r="B28" s="427" t="s">
        <v>17</v>
      </c>
      <c r="C28" s="427"/>
      <c r="D28" s="427"/>
      <c r="E28" s="427"/>
      <c r="F28" s="427"/>
      <c r="G28" s="427"/>
      <c r="H28" s="126" t="s">
        <v>18</v>
      </c>
      <c r="I28" s="150" t="s">
        <v>19</v>
      </c>
      <c r="J28" s="30"/>
      <c r="K28" s="30"/>
      <c r="L28" s="30"/>
      <c r="M28" s="30"/>
      <c r="O28" s="30"/>
    </row>
    <row r="29" spans="1:15" s="12" customFormat="1" x14ac:dyDescent="0.2">
      <c r="A29" s="126" t="s">
        <v>1</v>
      </c>
      <c r="B29" s="428" t="s">
        <v>20</v>
      </c>
      <c r="C29" s="428"/>
      <c r="D29" s="428"/>
      <c r="E29" s="428"/>
      <c r="F29" s="428"/>
      <c r="G29" s="428"/>
      <c r="H29" s="128"/>
      <c r="I29" s="152">
        <f>H23</f>
        <v>2192.65</v>
      </c>
      <c r="J29" s="30"/>
      <c r="K29" s="30"/>
      <c r="L29" s="30"/>
      <c r="M29" s="30"/>
      <c r="O29" s="30"/>
    </row>
    <row r="30" spans="1:15" s="12" customFormat="1" x14ac:dyDescent="0.2">
      <c r="A30" s="126" t="s">
        <v>2</v>
      </c>
      <c r="B30" s="428" t="s">
        <v>401</v>
      </c>
      <c r="C30" s="428"/>
      <c r="D30" s="428"/>
      <c r="E30" s="428"/>
      <c r="F30" s="428"/>
      <c r="G30" s="428"/>
      <c r="H30" s="2">
        <v>0.3</v>
      </c>
      <c r="I30" s="152">
        <f>I29*H30</f>
        <v>657.79499999999996</v>
      </c>
      <c r="J30" s="30"/>
      <c r="K30" s="30"/>
      <c r="L30" s="30"/>
      <c r="M30" s="30"/>
      <c r="O30" s="30"/>
    </row>
    <row r="31" spans="1:15" s="12" customFormat="1" x14ac:dyDescent="0.2">
      <c r="A31" s="126" t="s">
        <v>4</v>
      </c>
      <c r="B31" s="428" t="s">
        <v>21</v>
      </c>
      <c r="C31" s="428"/>
      <c r="D31" s="428"/>
      <c r="E31" s="428"/>
      <c r="F31" s="428"/>
      <c r="G31" s="428"/>
      <c r="H31" s="2"/>
      <c r="I31" s="152">
        <f>H31*I29</f>
        <v>0</v>
      </c>
      <c r="J31" s="30"/>
      <c r="K31" s="30"/>
      <c r="L31" s="30"/>
      <c r="M31" s="30"/>
      <c r="O31" s="30"/>
    </row>
    <row r="32" spans="1:15" s="12" customFormat="1" x14ac:dyDescent="0.2">
      <c r="A32" s="126" t="s">
        <v>6</v>
      </c>
      <c r="B32" s="428" t="s">
        <v>22</v>
      </c>
      <c r="C32" s="428"/>
      <c r="D32" s="428"/>
      <c r="E32" s="428"/>
      <c r="F32" s="428"/>
      <c r="G32" s="428"/>
      <c r="H32" s="2"/>
      <c r="I32" s="152">
        <v>0</v>
      </c>
      <c r="J32" s="30"/>
      <c r="K32" s="30"/>
      <c r="L32" s="30"/>
      <c r="M32" s="30"/>
      <c r="O32" s="30"/>
    </row>
    <row r="33" spans="1:15" s="12" customFormat="1" x14ac:dyDescent="0.2">
      <c r="A33" s="126" t="s">
        <v>23</v>
      </c>
      <c r="B33" s="428" t="s">
        <v>24</v>
      </c>
      <c r="C33" s="428"/>
      <c r="D33" s="428"/>
      <c r="E33" s="428"/>
      <c r="F33" s="428"/>
      <c r="G33" s="428"/>
      <c r="H33" s="2"/>
      <c r="I33" s="152">
        <v>0</v>
      </c>
      <c r="J33" s="30"/>
      <c r="K33" s="30"/>
      <c r="L33" s="30"/>
      <c r="M33" s="30"/>
      <c r="O33" s="30"/>
    </row>
    <row r="34" spans="1:15" s="12" customFormat="1" x14ac:dyDescent="0.2">
      <c r="A34" s="126" t="s">
        <v>25</v>
      </c>
      <c r="B34" s="428" t="s">
        <v>26</v>
      </c>
      <c r="C34" s="428"/>
      <c r="D34" s="428"/>
      <c r="E34" s="428"/>
      <c r="F34" s="428"/>
      <c r="G34" s="428"/>
      <c r="H34" s="2"/>
      <c r="I34" s="152">
        <v>0</v>
      </c>
      <c r="J34" s="30"/>
      <c r="K34" s="30"/>
      <c r="L34" s="30"/>
      <c r="M34" s="30"/>
      <c r="O34" s="30"/>
    </row>
    <row r="35" spans="1:15" s="12" customFormat="1" x14ac:dyDescent="0.2">
      <c r="A35" s="427" t="s">
        <v>27</v>
      </c>
      <c r="B35" s="427"/>
      <c r="C35" s="427"/>
      <c r="D35" s="427"/>
      <c r="E35" s="427"/>
      <c r="F35" s="427"/>
      <c r="G35" s="427"/>
      <c r="H35" s="427"/>
      <c r="I35" s="154">
        <f>TRUNC(SUM(I29:I34),2)</f>
        <v>2850.44</v>
      </c>
      <c r="J35" s="30"/>
      <c r="K35" s="30"/>
      <c r="L35" s="30"/>
      <c r="M35" s="30"/>
      <c r="O35" s="30"/>
    </row>
    <row r="36" spans="1:15" s="12" customFormat="1" x14ac:dyDescent="0.2">
      <c r="A36" s="463"/>
      <c r="B36" s="463"/>
      <c r="C36" s="463"/>
      <c r="D36" s="463"/>
      <c r="E36" s="463"/>
      <c r="F36" s="463"/>
      <c r="G36" s="463"/>
      <c r="H36" s="463"/>
      <c r="I36" s="463"/>
      <c r="J36" s="30"/>
      <c r="K36" s="30"/>
      <c r="L36" s="30"/>
      <c r="M36" s="30"/>
      <c r="O36" s="30"/>
    </row>
    <row r="37" spans="1:15" s="12" customFormat="1" x14ac:dyDescent="0.2">
      <c r="A37" s="431" t="s">
        <v>28</v>
      </c>
      <c r="B37" s="431"/>
      <c r="C37" s="431"/>
      <c r="D37" s="431"/>
      <c r="E37" s="431"/>
      <c r="F37" s="431"/>
      <c r="G37" s="431"/>
      <c r="H37" s="431"/>
      <c r="I37" s="431"/>
      <c r="J37" s="3"/>
      <c r="K37" s="30"/>
      <c r="L37" s="30"/>
      <c r="M37" s="30"/>
      <c r="O37" s="30"/>
    </row>
    <row r="38" spans="1:15" s="12" customFormat="1" x14ac:dyDescent="0.2">
      <c r="A38" s="427" t="s">
        <v>29</v>
      </c>
      <c r="B38" s="427"/>
      <c r="C38" s="427"/>
      <c r="D38" s="427"/>
      <c r="E38" s="427"/>
      <c r="F38" s="427"/>
      <c r="G38" s="427"/>
      <c r="H38" s="126" t="s">
        <v>18</v>
      </c>
      <c r="I38" s="150" t="s">
        <v>19</v>
      </c>
      <c r="J38" s="3"/>
      <c r="K38" s="30"/>
      <c r="L38" s="30"/>
      <c r="M38" s="30"/>
      <c r="O38" s="30"/>
    </row>
    <row r="39" spans="1:15" s="12" customFormat="1" x14ac:dyDescent="0.2">
      <c r="A39" s="126" t="s">
        <v>1</v>
      </c>
      <c r="B39" s="428" t="s">
        <v>30</v>
      </c>
      <c r="C39" s="428"/>
      <c r="D39" s="428"/>
      <c r="E39" s="428"/>
      <c r="F39" s="428"/>
      <c r="G39" s="428"/>
      <c r="H39" s="4">
        <f>1/12</f>
        <v>8.3333333333333329E-2</v>
      </c>
      <c r="I39" s="160">
        <f>$I$35*H39</f>
        <v>237.53666666666666</v>
      </c>
      <c r="J39" s="3"/>
      <c r="K39" s="30"/>
      <c r="L39" s="30"/>
      <c r="M39" s="30"/>
      <c r="O39" s="30"/>
    </row>
    <row r="40" spans="1:15" s="12" customFormat="1" x14ac:dyDescent="0.2">
      <c r="A40" s="126" t="s">
        <v>2</v>
      </c>
      <c r="B40" s="428" t="s">
        <v>31</v>
      </c>
      <c r="C40" s="428"/>
      <c r="D40" s="428"/>
      <c r="E40" s="428"/>
      <c r="F40" s="428"/>
      <c r="G40" s="428"/>
      <c r="H40" s="4">
        <v>0.121</v>
      </c>
      <c r="I40" s="160">
        <f>H40*I35</f>
        <v>344.90323999999998</v>
      </c>
      <c r="J40" s="3"/>
      <c r="K40" s="30"/>
      <c r="L40" s="30"/>
      <c r="M40" s="30"/>
      <c r="O40" s="30"/>
    </row>
    <row r="41" spans="1:15" s="12" customFormat="1" x14ac:dyDescent="0.2">
      <c r="A41" s="511" t="s">
        <v>436</v>
      </c>
      <c r="B41" s="512"/>
      <c r="C41" s="512"/>
      <c r="D41" s="512"/>
      <c r="E41" s="512"/>
      <c r="F41" s="512"/>
      <c r="G41" s="513"/>
      <c r="H41" s="41">
        <f>SUM(H39:H40)</f>
        <v>0.20433333333333331</v>
      </c>
      <c r="I41" s="193">
        <f>SUM(I39:I40)</f>
        <v>582.43990666666662</v>
      </c>
      <c r="J41" s="3"/>
      <c r="K41" s="30"/>
      <c r="L41" s="30"/>
      <c r="M41" s="30"/>
      <c r="O41" s="30"/>
    </row>
    <row r="42" spans="1:15" s="12" customFormat="1" x14ac:dyDescent="0.2">
      <c r="A42" s="310" t="s">
        <v>4</v>
      </c>
      <c r="B42" s="464" t="s">
        <v>394</v>
      </c>
      <c r="C42" s="465"/>
      <c r="D42" s="465"/>
      <c r="E42" s="465"/>
      <c r="F42" s="465"/>
      <c r="G42" s="466"/>
      <c r="H42" s="305">
        <f>(H41)*H58</f>
        <v>8.1324666666666656E-2</v>
      </c>
      <c r="I42" s="311">
        <f>ROUND(((I41)*H58),2)</f>
        <v>231.81</v>
      </c>
      <c r="J42" s="3"/>
      <c r="K42" s="30"/>
      <c r="L42" s="30"/>
      <c r="M42" s="30"/>
      <c r="O42" s="30"/>
    </row>
    <row r="43" spans="1:15" s="12" customFormat="1" x14ac:dyDescent="0.2">
      <c r="A43" s="529" t="s">
        <v>437</v>
      </c>
      <c r="B43" s="530"/>
      <c r="C43" s="530"/>
      <c r="D43" s="530"/>
      <c r="E43" s="530"/>
      <c r="F43" s="530"/>
      <c r="G43" s="531"/>
      <c r="H43" s="41">
        <f>SUM(H41:H42)</f>
        <v>0.28565799999999997</v>
      </c>
      <c r="I43" s="158">
        <f>I41+I42</f>
        <v>814.24990666666667</v>
      </c>
      <c r="J43" s="3"/>
      <c r="K43" s="30"/>
      <c r="L43" s="30"/>
      <c r="M43" s="30"/>
      <c r="O43" s="30"/>
    </row>
    <row r="44" spans="1:15" s="12" customFormat="1" ht="30" hidden="1" customHeight="1" x14ac:dyDescent="0.2">
      <c r="A44" s="449" t="s">
        <v>34</v>
      </c>
      <c r="B44" s="449"/>
      <c r="C44" s="449"/>
      <c r="D44" s="449"/>
      <c r="E44" s="449"/>
      <c r="F44" s="449"/>
      <c r="G44" s="449"/>
      <c r="H44" s="449"/>
      <c r="I44" s="449"/>
      <c r="J44" s="3"/>
      <c r="K44" s="30"/>
      <c r="L44" s="30"/>
      <c r="M44" s="30"/>
      <c r="O44" s="30"/>
    </row>
    <row r="45" spans="1:15" s="12" customFormat="1" ht="39.950000000000003" hidden="1" customHeight="1" x14ac:dyDescent="0.2">
      <c r="A45" s="449" t="s">
        <v>35</v>
      </c>
      <c r="B45" s="449"/>
      <c r="C45" s="449"/>
      <c r="D45" s="449"/>
      <c r="E45" s="449"/>
      <c r="F45" s="449"/>
      <c r="G45" s="449"/>
      <c r="H45" s="449"/>
      <c r="I45" s="449"/>
      <c r="J45" s="3"/>
      <c r="K45" s="30"/>
      <c r="L45" s="30"/>
      <c r="M45" s="30"/>
      <c r="O45" s="30"/>
    </row>
    <row r="46" spans="1:15" s="12" customFormat="1" ht="39.950000000000003" hidden="1" customHeight="1" x14ac:dyDescent="0.2">
      <c r="A46" s="449" t="s">
        <v>36</v>
      </c>
      <c r="B46" s="449"/>
      <c r="C46" s="449"/>
      <c r="D46" s="449"/>
      <c r="E46" s="449"/>
      <c r="F46" s="449"/>
      <c r="G46" s="449"/>
      <c r="H46" s="449"/>
      <c r="I46" s="449"/>
      <c r="J46" s="3"/>
      <c r="K46" s="30"/>
      <c r="L46" s="30"/>
      <c r="M46" s="30"/>
      <c r="O46" s="30"/>
    </row>
    <row r="47" spans="1:15" s="12" customFormat="1" x14ac:dyDescent="0.2">
      <c r="A47" s="457"/>
      <c r="B47" s="457"/>
      <c r="C47" s="457"/>
      <c r="D47" s="457"/>
      <c r="E47" s="457"/>
      <c r="F47" s="457"/>
      <c r="G47" s="457"/>
      <c r="H47" s="457"/>
      <c r="I47" s="457"/>
      <c r="J47" s="6"/>
      <c r="K47" s="7"/>
      <c r="L47" s="30"/>
      <c r="M47" s="30"/>
      <c r="O47" s="30"/>
    </row>
    <row r="48" spans="1:15" s="12" customFormat="1" x14ac:dyDescent="0.2">
      <c r="A48" s="451" t="s">
        <v>37</v>
      </c>
      <c r="B48" s="451"/>
      <c r="C48" s="451"/>
      <c r="D48" s="451"/>
      <c r="E48" s="451"/>
      <c r="F48" s="451"/>
      <c r="G48" s="451"/>
      <c r="H48" s="127" t="s">
        <v>18</v>
      </c>
      <c r="I48" s="159" t="s">
        <v>19</v>
      </c>
      <c r="J48" s="3"/>
      <c r="K48" s="30"/>
      <c r="L48" s="30"/>
      <c r="M48" s="30"/>
      <c r="O48" s="30"/>
    </row>
    <row r="49" spans="1:15" s="12" customFormat="1" x14ac:dyDescent="0.2">
      <c r="A49" s="126" t="s">
        <v>1</v>
      </c>
      <c r="B49" s="428" t="s">
        <v>38</v>
      </c>
      <c r="C49" s="428"/>
      <c r="D49" s="428"/>
      <c r="E49" s="428"/>
      <c r="F49" s="428"/>
      <c r="G49" s="428"/>
      <c r="H49" s="4">
        <v>0.2</v>
      </c>
      <c r="I49" s="160">
        <f>($I$35+I42)*H49</f>
        <v>616.45000000000005</v>
      </c>
      <c r="J49" s="3"/>
      <c r="K49" s="30"/>
      <c r="L49" s="30"/>
      <c r="M49" s="30"/>
      <c r="O49" s="30"/>
    </row>
    <row r="50" spans="1:15" s="12" customFormat="1" x14ac:dyDescent="0.2">
      <c r="A50" s="126" t="s">
        <v>2</v>
      </c>
      <c r="B50" s="428" t="s">
        <v>39</v>
      </c>
      <c r="C50" s="428"/>
      <c r="D50" s="428"/>
      <c r="E50" s="428"/>
      <c r="F50" s="428"/>
      <c r="G50" s="428"/>
      <c r="H50" s="4">
        <v>2.5000000000000001E-2</v>
      </c>
      <c r="I50" s="160">
        <f>($I$35+I42)*H50</f>
        <v>77.056250000000006</v>
      </c>
      <c r="J50" s="3"/>
      <c r="K50" s="30"/>
      <c r="L50" s="30"/>
      <c r="M50" s="30"/>
      <c r="O50" s="30"/>
    </row>
    <row r="51" spans="1:15" s="12" customFormat="1" x14ac:dyDescent="0.2">
      <c r="A51" s="126" t="s">
        <v>4</v>
      </c>
      <c r="B51" s="486" t="s">
        <v>40</v>
      </c>
      <c r="C51" s="486"/>
      <c r="D51" s="486"/>
      <c r="E51" s="486"/>
      <c r="F51" s="486"/>
      <c r="G51" s="486"/>
      <c r="H51" s="4">
        <v>0.03</v>
      </c>
      <c r="I51" s="487">
        <f>($I$35+I42)*H51*H52</f>
        <v>184.935</v>
      </c>
      <c r="J51" s="31">
        <f>H51*H52</f>
        <v>0.06</v>
      </c>
      <c r="K51" s="8"/>
      <c r="L51" s="30"/>
      <c r="M51" s="30"/>
      <c r="O51" s="30"/>
    </row>
    <row r="52" spans="1:15" s="12" customFormat="1" x14ac:dyDescent="0.2">
      <c r="A52" s="126"/>
      <c r="B52" s="486"/>
      <c r="C52" s="486"/>
      <c r="D52" s="486"/>
      <c r="E52" s="486"/>
      <c r="F52" s="486"/>
      <c r="G52" s="486"/>
      <c r="H52" s="10">
        <v>2</v>
      </c>
      <c r="I52" s="487"/>
      <c r="J52" s="3"/>
      <c r="K52" s="8"/>
      <c r="L52" s="30"/>
      <c r="M52" s="30"/>
      <c r="O52" s="30"/>
    </row>
    <row r="53" spans="1:15" s="12" customFormat="1" x14ac:dyDescent="0.2">
      <c r="A53" s="126" t="s">
        <v>6</v>
      </c>
      <c r="B53" s="428" t="s">
        <v>41</v>
      </c>
      <c r="C53" s="428"/>
      <c r="D53" s="428"/>
      <c r="E53" s="428"/>
      <c r="F53" s="428"/>
      <c r="G53" s="428"/>
      <c r="H53" s="4">
        <v>1.4999999999999999E-2</v>
      </c>
      <c r="I53" s="160">
        <f>($I$35+I42)*H53</f>
        <v>46.233750000000001</v>
      </c>
      <c r="J53" s="3"/>
      <c r="K53" s="30"/>
      <c r="L53" s="30"/>
      <c r="M53" s="30"/>
      <c r="O53" s="30"/>
    </row>
    <row r="54" spans="1:15" s="12" customFormat="1" x14ac:dyDescent="0.2">
      <c r="A54" s="126" t="s">
        <v>23</v>
      </c>
      <c r="B54" s="428" t="s">
        <v>42</v>
      </c>
      <c r="C54" s="428"/>
      <c r="D54" s="428"/>
      <c r="E54" s="428"/>
      <c r="F54" s="428"/>
      <c r="G54" s="428"/>
      <c r="H54" s="4">
        <v>0.01</v>
      </c>
      <c r="I54" s="160">
        <f>($I$35+I42)*H54</f>
        <v>30.822500000000002</v>
      </c>
      <c r="J54" s="3"/>
      <c r="K54" s="30"/>
      <c r="L54" s="30"/>
      <c r="M54" s="30"/>
      <c r="O54" s="30"/>
    </row>
    <row r="55" spans="1:15" s="12" customFormat="1" x14ac:dyDescent="0.2">
      <c r="A55" s="126" t="s">
        <v>25</v>
      </c>
      <c r="B55" s="428" t="s">
        <v>43</v>
      </c>
      <c r="C55" s="428"/>
      <c r="D55" s="428"/>
      <c r="E55" s="428"/>
      <c r="F55" s="428"/>
      <c r="G55" s="428"/>
      <c r="H55" s="4">
        <v>6.0000000000000001E-3</v>
      </c>
      <c r="I55" s="160">
        <f>($I$35+I42)*H55</f>
        <v>18.493500000000001</v>
      </c>
      <c r="J55" s="3"/>
      <c r="K55" s="30"/>
      <c r="L55" s="30"/>
      <c r="M55" s="30"/>
      <c r="O55" s="30"/>
    </row>
    <row r="56" spans="1:15" s="12" customFormat="1" x14ac:dyDescent="0.2">
      <c r="A56" s="126" t="s">
        <v>44</v>
      </c>
      <c r="B56" s="428" t="s">
        <v>45</v>
      </c>
      <c r="C56" s="428"/>
      <c r="D56" s="428"/>
      <c r="E56" s="428"/>
      <c r="F56" s="428"/>
      <c r="G56" s="428"/>
      <c r="H56" s="4">
        <v>2E-3</v>
      </c>
      <c r="I56" s="160">
        <f>($I$35+I42)*H56</f>
        <v>6.1645000000000003</v>
      </c>
      <c r="J56" s="3"/>
      <c r="K56" s="30"/>
      <c r="L56" s="30"/>
      <c r="M56" s="30"/>
      <c r="O56" s="30"/>
    </row>
    <row r="57" spans="1:15" s="12" customFormat="1" x14ac:dyDescent="0.2">
      <c r="A57" s="126" t="s">
        <v>46</v>
      </c>
      <c r="B57" s="428" t="s">
        <v>47</v>
      </c>
      <c r="C57" s="428"/>
      <c r="D57" s="428"/>
      <c r="E57" s="428"/>
      <c r="F57" s="428"/>
      <c r="G57" s="428"/>
      <c r="H57" s="4">
        <v>0.08</v>
      </c>
      <c r="I57" s="160">
        <f>($I$35+I42)*H57</f>
        <v>246.58</v>
      </c>
      <c r="J57" s="3"/>
      <c r="K57" s="30"/>
      <c r="L57" s="30"/>
      <c r="M57" s="30"/>
      <c r="O57" s="30"/>
    </row>
    <row r="58" spans="1:15" s="12" customFormat="1" x14ac:dyDescent="0.2">
      <c r="A58" s="427" t="s">
        <v>48</v>
      </c>
      <c r="B58" s="427"/>
      <c r="C58" s="427"/>
      <c r="D58" s="427"/>
      <c r="E58" s="427"/>
      <c r="F58" s="427"/>
      <c r="G58" s="427"/>
      <c r="H58" s="5">
        <f>SUM(H49:H50,H53:H57)+J51</f>
        <v>0.39800000000000002</v>
      </c>
      <c r="I58" s="154">
        <f>SUM(I49:I57)</f>
        <v>1226.7355</v>
      </c>
      <c r="J58" s="3"/>
      <c r="K58" s="30"/>
      <c r="L58" s="30"/>
      <c r="M58" s="30"/>
      <c r="O58" s="30"/>
    </row>
    <row r="59" spans="1:15" s="12" customFormat="1" x14ac:dyDescent="0.2">
      <c r="A59" s="450"/>
      <c r="B59" s="450"/>
      <c r="C59" s="450"/>
      <c r="D59" s="450"/>
      <c r="E59" s="450"/>
      <c r="F59" s="450"/>
      <c r="G59" s="450"/>
      <c r="H59" s="450"/>
      <c r="I59" s="450"/>
      <c r="J59" s="3"/>
      <c r="K59" s="30"/>
      <c r="L59" s="30"/>
      <c r="M59" s="30"/>
      <c r="O59" s="30"/>
    </row>
    <row r="60" spans="1:15" s="12" customFormat="1" x14ac:dyDescent="0.2">
      <c r="A60" s="451" t="s">
        <v>49</v>
      </c>
      <c r="B60" s="451"/>
      <c r="C60" s="451"/>
      <c r="D60" s="451"/>
      <c r="E60" s="451"/>
      <c r="F60" s="451"/>
      <c r="G60" s="451"/>
      <c r="H60" s="9" t="s">
        <v>50</v>
      </c>
      <c r="I60" s="159" t="s">
        <v>19</v>
      </c>
      <c r="J60" s="3"/>
      <c r="K60" s="30"/>
      <c r="L60" s="30"/>
      <c r="M60" s="30"/>
      <c r="O60" s="30"/>
    </row>
    <row r="61" spans="1:15" s="12" customFormat="1" x14ac:dyDescent="0.2">
      <c r="A61" s="126" t="s">
        <v>1</v>
      </c>
      <c r="B61" s="435" t="s">
        <v>51</v>
      </c>
      <c r="C61" s="435"/>
      <c r="D61" s="435"/>
      <c r="E61" s="435"/>
      <c r="F61" s="435"/>
      <c r="G61" s="435"/>
      <c r="H61" s="10">
        <v>5.5</v>
      </c>
      <c r="I61" s="152">
        <v>0</v>
      </c>
      <c r="J61" s="3"/>
      <c r="K61" s="30"/>
      <c r="L61" s="30"/>
      <c r="M61" s="30"/>
      <c r="O61" s="30"/>
    </row>
    <row r="62" spans="1:15" s="12" customFormat="1" x14ac:dyDescent="0.2">
      <c r="A62" s="126" t="s">
        <v>2</v>
      </c>
      <c r="B62" s="435" t="s">
        <v>52</v>
      </c>
      <c r="C62" s="435"/>
      <c r="D62" s="435"/>
      <c r="E62" s="435"/>
      <c r="F62" s="435"/>
      <c r="G62" s="435"/>
      <c r="H62" s="10">
        <v>35.770000000000003</v>
      </c>
      <c r="I62" s="152">
        <f>' V.A_VT'!G27</f>
        <v>404.25</v>
      </c>
      <c r="J62" s="3"/>
      <c r="K62" s="30"/>
      <c r="L62" s="30"/>
      <c r="M62" s="30"/>
      <c r="O62" s="30"/>
    </row>
    <row r="63" spans="1:15" s="12" customFormat="1" x14ac:dyDescent="0.2">
      <c r="A63" s="126" t="s">
        <v>4</v>
      </c>
      <c r="B63" s="452" t="s">
        <v>314</v>
      </c>
      <c r="C63" s="453"/>
      <c r="D63" s="453"/>
      <c r="E63" s="453"/>
      <c r="F63" s="453"/>
      <c r="G63" s="454"/>
      <c r="H63" s="10"/>
      <c r="I63" s="287"/>
      <c r="J63" s="3"/>
      <c r="K63" s="30"/>
      <c r="L63" s="30"/>
      <c r="M63" s="30"/>
      <c r="O63" s="30"/>
    </row>
    <row r="64" spans="1:15" s="12" customFormat="1" x14ac:dyDescent="0.2">
      <c r="A64" s="126" t="s">
        <v>6</v>
      </c>
      <c r="B64" s="435" t="s">
        <v>211</v>
      </c>
      <c r="C64" s="435"/>
      <c r="D64" s="435"/>
      <c r="E64" s="435"/>
      <c r="F64" s="435"/>
      <c r="G64" s="435"/>
      <c r="H64" s="10"/>
      <c r="I64" s="287"/>
      <c r="J64" s="3"/>
      <c r="K64" s="30"/>
      <c r="L64" s="30"/>
      <c r="M64" s="30"/>
      <c r="O64" s="30"/>
    </row>
    <row r="65" spans="1:18" s="12" customFormat="1" x14ac:dyDescent="0.2">
      <c r="A65" s="126" t="s">
        <v>23</v>
      </c>
      <c r="B65" s="428" t="s">
        <v>311</v>
      </c>
      <c r="C65" s="428"/>
      <c r="D65" s="428"/>
      <c r="E65" s="428"/>
      <c r="F65" s="428"/>
      <c r="G65" s="428"/>
      <c r="H65" s="10"/>
      <c r="I65" s="152">
        <v>0</v>
      </c>
      <c r="J65" s="3"/>
      <c r="K65" s="30"/>
      <c r="L65" s="30"/>
      <c r="M65" s="30"/>
      <c r="O65" s="30"/>
    </row>
    <row r="66" spans="1:18" s="12" customFormat="1" x14ac:dyDescent="0.2">
      <c r="A66" s="126" t="s">
        <v>25</v>
      </c>
      <c r="B66" s="435" t="s">
        <v>26</v>
      </c>
      <c r="C66" s="435"/>
      <c r="D66" s="435"/>
      <c r="E66" s="435"/>
      <c r="F66" s="435"/>
      <c r="G66" s="435"/>
      <c r="H66" s="10"/>
      <c r="I66" s="152"/>
      <c r="J66" s="3"/>
      <c r="K66" s="30"/>
      <c r="L66" s="30"/>
      <c r="M66" s="30"/>
      <c r="O66" s="30"/>
    </row>
    <row r="67" spans="1:18" s="12" customFormat="1" x14ac:dyDescent="0.2">
      <c r="A67" s="427" t="s">
        <v>54</v>
      </c>
      <c r="B67" s="427"/>
      <c r="C67" s="427"/>
      <c r="D67" s="427"/>
      <c r="E67" s="427"/>
      <c r="F67" s="427"/>
      <c r="G67" s="427"/>
      <c r="H67" s="427"/>
      <c r="I67" s="158">
        <f>SUM(I61:I66)</f>
        <v>404.25</v>
      </c>
      <c r="J67" s="3"/>
      <c r="K67" s="30"/>
      <c r="L67" s="30"/>
      <c r="M67" s="30"/>
      <c r="O67" s="30"/>
    </row>
    <row r="68" spans="1:18" s="12" customFormat="1" ht="30" hidden="1" customHeight="1" x14ac:dyDescent="0.2">
      <c r="A68" s="448" t="s">
        <v>55</v>
      </c>
      <c r="B68" s="448"/>
      <c r="C68" s="448"/>
      <c r="D68" s="448"/>
      <c r="E68" s="448"/>
      <c r="F68" s="448"/>
      <c r="G68" s="448"/>
      <c r="H68" s="448"/>
      <c r="I68" s="448"/>
      <c r="J68" s="3"/>
      <c r="K68" s="30"/>
      <c r="L68" s="30"/>
      <c r="M68" s="30"/>
      <c r="O68" s="30"/>
    </row>
    <row r="69" spans="1:18" s="12" customFormat="1" ht="30" hidden="1" customHeight="1" x14ac:dyDescent="0.2">
      <c r="A69" s="449" t="s">
        <v>56</v>
      </c>
      <c r="B69" s="449"/>
      <c r="C69" s="449"/>
      <c r="D69" s="449"/>
      <c r="E69" s="449"/>
      <c r="F69" s="449"/>
      <c r="G69" s="449"/>
      <c r="H69" s="449"/>
      <c r="I69" s="449"/>
      <c r="J69" s="443" t="s">
        <v>128</v>
      </c>
      <c r="K69" s="444"/>
      <c r="L69" s="444"/>
      <c r="M69" s="444"/>
      <c r="N69" s="444"/>
      <c r="O69" s="444"/>
      <c r="P69" s="444"/>
      <c r="Q69" s="444"/>
      <c r="R69" s="444"/>
    </row>
    <row r="70" spans="1:18" s="12" customFormat="1" ht="30" hidden="1" customHeight="1" x14ac:dyDescent="0.2">
      <c r="A70" s="445" t="s">
        <v>57</v>
      </c>
      <c r="B70" s="445"/>
      <c r="C70" s="445"/>
      <c r="D70" s="445"/>
      <c r="E70" s="445"/>
      <c r="F70" s="445"/>
      <c r="G70" s="445"/>
      <c r="H70" s="445"/>
      <c r="I70" s="445"/>
      <c r="J70" s="3"/>
      <c r="K70" s="30"/>
      <c r="L70" s="30"/>
      <c r="M70" s="30"/>
      <c r="O70" s="30"/>
    </row>
    <row r="71" spans="1:18" s="12" customFormat="1" ht="18.75" hidden="1" customHeight="1" x14ac:dyDescent="0.2">
      <c r="A71" s="446" t="s">
        <v>58</v>
      </c>
      <c r="B71" s="446"/>
      <c r="C71" s="446"/>
      <c r="D71" s="446"/>
      <c r="E71" s="446"/>
      <c r="F71" s="446"/>
      <c r="G71" s="446"/>
      <c r="H71" s="446"/>
      <c r="I71" s="446"/>
      <c r="J71" s="3"/>
      <c r="K71" s="30"/>
      <c r="L71" s="30"/>
      <c r="M71" s="30"/>
      <c r="O71" s="30"/>
    </row>
    <row r="72" spans="1:18" s="12" customFormat="1" x14ac:dyDescent="0.2">
      <c r="A72" s="447"/>
      <c r="B72" s="447"/>
      <c r="C72" s="447"/>
      <c r="D72" s="447"/>
      <c r="E72" s="447"/>
      <c r="F72" s="447"/>
      <c r="G72" s="447"/>
      <c r="H72" s="447"/>
      <c r="I72" s="447"/>
      <c r="J72" s="3"/>
      <c r="K72" s="30"/>
      <c r="L72" s="30"/>
      <c r="M72" s="30"/>
      <c r="O72" s="30"/>
    </row>
    <row r="73" spans="1:18" s="12" customFormat="1" x14ac:dyDescent="0.2">
      <c r="A73" s="431" t="s">
        <v>59</v>
      </c>
      <c r="B73" s="431"/>
      <c r="C73" s="431"/>
      <c r="D73" s="431"/>
      <c r="E73" s="431"/>
      <c r="F73" s="431"/>
      <c r="G73" s="431"/>
      <c r="H73" s="431"/>
      <c r="I73" s="431"/>
      <c r="J73" s="3"/>
      <c r="K73" s="30"/>
      <c r="L73" s="30"/>
      <c r="M73" s="30"/>
      <c r="O73" s="30"/>
    </row>
    <row r="74" spans="1:18" s="12" customFormat="1" x14ac:dyDescent="0.2">
      <c r="A74" s="427" t="s">
        <v>60</v>
      </c>
      <c r="B74" s="427"/>
      <c r="C74" s="427"/>
      <c r="D74" s="427"/>
      <c r="E74" s="427"/>
      <c r="F74" s="427"/>
      <c r="G74" s="427"/>
      <c r="H74" s="427"/>
      <c r="I74" s="150" t="s">
        <v>19</v>
      </c>
      <c r="J74" s="3"/>
      <c r="K74" s="30"/>
      <c r="L74" s="57">
        <f>SUM(I75+I76+I87+I97)/I35</f>
        <v>0.80090982678697553</v>
      </c>
      <c r="M74" s="30"/>
      <c r="O74" s="30"/>
    </row>
    <row r="75" spans="1:18" s="12" customFormat="1" x14ac:dyDescent="0.2">
      <c r="A75" s="126" t="s">
        <v>61</v>
      </c>
      <c r="B75" s="428" t="s">
        <v>62</v>
      </c>
      <c r="C75" s="428"/>
      <c r="D75" s="428"/>
      <c r="E75" s="428"/>
      <c r="F75" s="428"/>
      <c r="G75" s="428"/>
      <c r="H75" s="428"/>
      <c r="I75" s="152">
        <f>I43</f>
        <v>814.24990666666667</v>
      </c>
      <c r="J75" s="3"/>
      <c r="K75" s="30"/>
      <c r="L75" s="30"/>
      <c r="M75" s="30"/>
      <c r="O75" s="30"/>
    </row>
    <row r="76" spans="1:18" s="12" customFormat="1" x14ac:dyDescent="0.2">
      <c r="A76" s="126" t="s">
        <v>63</v>
      </c>
      <c r="B76" s="428" t="s">
        <v>64</v>
      </c>
      <c r="C76" s="428"/>
      <c r="D76" s="428"/>
      <c r="E76" s="428"/>
      <c r="F76" s="428"/>
      <c r="G76" s="428"/>
      <c r="H76" s="428"/>
      <c r="I76" s="152">
        <f>I58</f>
        <v>1226.7355</v>
      </c>
      <c r="J76" s="3"/>
      <c r="K76" s="30"/>
      <c r="L76" s="30"/>
      <c r="M76" s="30"/>
      <c r="O76" s="30"/>
    </row>
    <row r="77" spans="1:18" s="12" customFormat="1" x14ac:dyDescent="0.2">
      <c r="A77" s="126" t="s">
        <v>65</v>
      </c>
      <c r="B77" s="428" t="s">
        <v>66</v>
      </c>
      <c r="C77" s="428"/>
      <c r="D77" s="428"/>
      <c r="E77" s="428"/>
      <c r="F77" s="428"/>
      <c r="G77" s="428"/>
      <c r="H77" s="428"/>
      <c r="I77" s="152">
        <f>I67</f>
        <v>404.25</v>
      </c>
      <c r="J77" s="3"/>
      <c r="K77" s="30"/>
      <c r="L77" s="30"/>
      <c r="M77" s="30"/>
      <c r="O77" s="30"/>
    </row>
    <row r="78" spans="1:18" s="12" customFormat="1" x14ac:dyDescent="0.2">
      <c r="A78" s="427" t="s">
        <v>67</v>
      </c>
      <c r="B78" s="427"/>
      <c r="C78" s="427"/>
      <c r="D78" s="427"/>
      <c r="E78" s="427"/>
      <c r="F78" s="427"/>
      <c r="G78" s="427"/>
      <c r="H78" s="427"/>
      <c r="I78" s="154">
        <f>TRUNC(SUM(I75:I77),2)</f>
        <v>2445.23</v>
      </c>
      <c r="J78" s="3"/>
      <c r="K78" s="30"/>
      <c r="L78" s="30"/>
      <c r="M78" s="30"/>
      <c r="O78" s="30"/>
    </row>
    <row r="79" spans="1:18" s="12" customFormat="1" x14ac:dyDescent="0.2">
      <c r="A79" s="11"/>
      <c r="B79" s="11"/>
      <c r="C79" s="11"/>
      <c r="D79" s="11"/>
      <c r="E79" s="11"/>
      <c r="F79" s="11"/>
      <c r="G79" s="11"/>
      <c r="H79" s="11"/>
      <c r="I79" s="164"/>
      <c r="J79" s="3"/>
      <c r="K79" s="30"/>
      <c r="L79" s="30"/>
      <c r="M79" s="30"/>
      <c r="O79" s="30"/>
    </row>
    <row r="80" spans="1:18" s="12" customFormat="1" x14ac:dyDescent="0.2">
      <c r="A80" s="431" t="s">
        <v>68</v>
      </c>
      <c r="B80" s="431"/>
      <c r="C80" s="431"/>
      <c r="D80" s="431"/>
      <c r="E80" s="431"/>
      <c r="F80" s="431"/>
      <c r="G80" s="431"/>
      <c r="H80" s="431"/>
      <c r="I80" s="431"/>
      <c r="J80" s="3"/>
      <c r="K80" s="30"/>
      <c r="L80" s="30"/>
      <c r="M80" s="30"/>
      <c r="O80" s="30"/>
    </row>
    <row r="81" spans="1:15" s="12" customFormat="1" x14ac:dyDescent="0.2">
      <c r="A81" s="126">
        <v>3</v>
      </c>
      <c r="B81" s="427" t="s">
        <v>69</v>
      </c>
      <c r="C81" s="427"/>
      <c r="D81" s="427"/>
      <c r="E81" s="427"/>
      <c r="F81" s="427"/>
      <c r="G81" s="427"/>
      <c r="H81" s="126" t="s">
        <v>18</v>
      </c>
      <c r="I81" s="150" t="s">
        <v>19</v>
      </c>
      <c r="J81" s="3"/>
      <c r="K81" s="30"/>
      <c r="L81" s="30"/>
      <c r="M81" s="30"/>
      <c r="O81" s="30"/>
    </row>
    <row r="82" spans="1:15" s="12" customFormat="1" x14ac:dyDescent="0.2">
      <c r="A82" s="126" t="s">
        <v>1</v>
      </c>
      <c r="B82" s="428" t="s">
        <v>70</v>
      </c>
      <c r="C82" s="428"/>
      <c r="D82" s="428"/>
      <c r="E82" s="428"/>
      <c r="F82" s="428"/>
      <c r="G82" s="428"/>
      <c r="H82" s="4">
        <v>4.5999999999999999E-3</v>
      </c>
      <c r="I82" s="152">
        <f t="shared" ref="I82:I86" si="0">$I$35*H82</f>
        <v>13.112024</v>
      </c>
      <c r="J82" s="3"/>
      <c r="K82" s="30"/>
      <c r="L82" s="30"/>
      <c r="M82" s="30"/>
      <c r="O82" s="30"/>
    </row>
    <row r="83" spans="1:15" s="12" customFormat="1" x14ac:dyDescent="0.2">
      <c r="A83" s="126" t="s">
        <v>2</v>
      </c>
      <c r="B83" s="428" t="s">
        <v>71</v>
      </c>
      <c r="C83" s="428"/>
      <c r="D83" s="428"/>
      <c r="E83" s="428"/>
      <c r="F83" s="428"/>
      <c r="G83" s="428"/>
      <c r="H83" s="4">
        <f>H82*0.08</f>
        <v>3.68E-4</v>
      </c>
      <c r="I83" s="152">
        <f t="shared" si="0"/>
        <v>1.04896192</v>
      </c>
      <c r="J83" s="3"/>
      <c r="K83" s="30"/>
      <c r="L83" s="30"/>
      <c r="M83" s="30"/>
      <c r="O83" s="30"/>
    </row>
    <row r="84" spans="1:15" s="12" customFormat="1" x14ac:dyDescent="0.2">
      <c r="A84" s="126" t="s">
        <v>4</v>
      </c>
      <c r="B84" s="428" t="s">
        <v>72</v>
      </c>
      <c r="C84" s="428"/>
      <c r="D84" s="428"/>
      <c r="E84" s="428"/>
      <c r="F84" s="428"/>
      <c r="G84" s="428"/>
      <c r="H84" s="4">
        <v>1.9400000000000001E-2</v>
      </c>
      <c r="I84" s="152">
        <f t="shared" si="0"/>
        <v>55.298536000000006</v>
      </c>
      <c r="L84" s="57"/>
    </row>
    <row r="85" spans="1:15" s="12" customFormat="1" x14ac:dyDescent="0.2">
      <c r="A85" s="126" t="s">
        <v>6</v>
      </c>
      <c r="B85" s="428" t="s">
        <v>73</v>
      </c>
      <c r="C85" s="428"/>
      <c r="D85" s="428"/>
      <c r="E85" s="428"/>
      <c r="F85" s="428"/>
      <c r="G85" s="428"/>
      <c r="H85" s="13">
        <f>H84*H58</f>
        <v>7.721200000000001E-3</v>
      </c>
      <c r="I85" s="152">
        <f t="shared" si="0"/>
        <v>22.008817328000003</v>
      </c>
      <c r="J85" s="3"/>
      <c r="K85" s="14"/>
    </row>
    <row r="86" spans="1:15" s="12" customFormat="1" ht="38.25" customHeight="1" x14ac:dyDescent="0.2">
      <c r="A86" s="413" t="s">
        <v>23</v>
      </c>
      <c r="B86" s="517" t="s">
        <v>478</v>
      </c>
      <c r="C86" s="517"/>
      <c r="D86" s="517"/>
      <c r="E86" s="517"/>
      <c r="F86" s="517"/>
      <c r="G86" s="517"/>
      <c r="H86" s="414">
        <v>0.04</v>
      </c>
      <c r="I86" s="416">
        <f t="shared" si="0"/>
        <v>114.0176</v>
      </c>
      <c r="J86" s="3"/>
      <c r="K86" s="30"/>
    </row>
    <row r="87" spans="1:15" s="12" customFormat="1" x14ac:dyDescent="0.2">
      <c r="A87" s="427" t="s">
        <v>74</v>
      </c>
      <c r="B87" s="427"/>
      <c r="C87" s="427"/>
      <c r="D87" s="427"/>
      <c r="E87" s="427"/>
      <c r="F87" s="427"/>
      <c r="G87" s="427"/>
      <c r="H87" s="5">
        <f>TRUNC(SUM(H82:H86),4)</f>
        <v>7.1999999999999995E-2</v>
      </c>
      <c r="I87" s="154">
        <f>TRUNC(SUM(I82:I86),2)</f>
        <v>205.48</v>
      </c>
      <c r="J87" s="3"/>
      <c r="K87" s="30"/>
    </row>
    <row r="88" spans="1:15" s="12" customFormat="1" x14ac:dyDescent="0.2">
      <c r="A88" s="441"/>
      <c r="B88" s="441"/>
      <c r="C88" s="441"/>
      <c r="D88" s="441"/>
      <c r="E88" s="441"/>
      <c r="F88" s="441"/>
      <c r="G88" s="441"/>
      <c r="H88" s="441"/>
      <c r="I88" s="441"/>
      <c r="J88" s="3"/>
      <c r="K88" s="30"/>
    </row>
    <row r="89" spans="1:15" s="12" customFormat="1" x14ac:dyDescent="0.2">
      <c r="A89" s="431" t="s">
        <v>75</v>
      </c>
      <c r="B89" s="431"/>
      <c r="C89" s="431"/>
      <c r="D89" s="431"/>
      <c r="E89" s="431"/>
      <c r="F89" s="431"/>
      <c r="G89" s="431"/>
      <c r="H89" s="431"/>
      <c r="I89" s="431"/>
      <c r="J89" s="3"/>
      <c r="K89" s="30"/>
    </row>
    <row r="90" spans="1:15" s="12" customFormat="1" x14ac:dyDescent="0.2">
      <c r="A90" s="437" t="s">
        <v>76</v>
      </c>
      <c r="B90" s="437"/>
      <c r="C90" s="437"/>
      <c r="D90" s="437"/>
      <c r="E90" s="437"/>
      <c r="F90" s="437"/>
      <c r="G90" s="437"/>
      <c r="H90" s="129" t="s">
        <v>18</v>
      </c>
      <c r="I90" s="166" t="s">
        <v>19</v>
      </c>
      <c r="J90" s="3"/>
      <c r="K90" s="30"/>
    </row>
    <row r="91" spans="1:15" s="12" customFormat="1" x14ac:dyDescent="0.2">
      <c r="A91" s="126" t="s">
        <v>1</v>
      </c>
      <c r="B91" s="428" t="s">
        <v>340</v>
      </c>
      <c r="C91" s="428"/>
      <c r="D91" s="428"/>
      <c r="E91" s="428"/>
      <c r="F91" s="428"/>
      <c r="G91" s="428"/>
      <c r="H91" s="4">
        <v>9.2999999999999992E-3</v>
      </c>
      <c r="I91" s="152">
        <f t="shared" ref="I91:I96" si="1">$I$35*H91</f>
        <v>26.509091999999999</v>
      </c>
      <c r="J91" s="3"/>
      <c r="K91" s="30"/>
    </row>
    <row r="92" spans="1:15" s="12" customFormat="1" x14ac:dyDescent="0.2">
      <c r="A92" s="126" t="s">
        <v>2</v>
      </c>
      <c r="B92" s="428" t="s">
        <v>341</v>
      </c>
      <c r="C92" s="428"/>
      <c r="D92" s="428"/>
      <c r="E92" s="428"/>
      <c r="F92" s="428"/>
      <c r="G92" s="428"/>
      <c r="H92" s="4">
        <v>2.8E-3</v>
      </c>
      <c r="I92" s="152">
        <f>$I$35*H92</f>
        <v>7.9812320000000003</v>
      </c>
      <c r="J92" s="15"/>
      <c r="K92" s="30"/>
    </row>
    <row r="93" spans="1:15" s="12" customFormat="1" x14ac:dyDescent="0.2">
      <c r="A93" s="126" t="s">
        <v>4</v>
      </c>
      <c r="B93" s="428" t="s">
        <v>342</v>
      </c>
      <c r="C93" s="428"/>
      <c r="D93" s="428"/>
      <c r="E93" s="428"/>
      <c r="F93" s="428"/>
      <c r="G93" s="428"/>
      <c r="H93" s="4">
        <v>2.0000000000000001E-4</v>
      </c>
      <c r="I93" s="152">
        <f>$I$35*H93</f>
        <v>0.57008800000000004</v>
      </c>
      <c r="J93" s="15"/>
      <c r="K93" s="16"/>
    </row>
    <row r="94" spans="1:15" s="12" customFormat="1" x14ac:dyDescent="0.2">
      <c r="A94" s="126" t="s">
        <v>6</v>
      </c>
      <c r="B94" s="428" t="s">
        <v>343</v>
      </c>
      <c r="C94" s="428"/>
      <c r="D94" s="428"/>
      <c r="E94" s="428"/>
      <c r="F94" s="428"/>
      <c r="G94" s="428"/>
      <c r="H94" s="4">
        <v>2.9999999999999997E-4</v>
      </c>
      <c r="I94" s="152">
        <f t="shared" si="1"/>
        <v>0.85513199999999989</v>
      </c>
      <c r="J94" s="15"/>
      <c r="K94" s="16"/>
    </row>
    <row r="95" spans="1:15" s="12" customFormat="1" x14ac:dyDescent="0.2">
      <c r="A95" s="126" t="s">
        <v>23</v>
      </c>
      <c r="B95" s="428" t="s">
        <v>344</v>
      </c>
      <c r="C95" s="428"/>
      <c r="D95" s="428"/>
      <c r="E95" s="428"/>
      <c r="F95" s="428"/>
      <c r="G95" s="428"/>
      <c r="H95" s="4">
        <v>2.0000000000000001E-4</v>
      </c>
      <c r="I95" s="152">
        <f t="shared" si="1"/>
        <v>0.57008800000000004</v>
      </c>
      <c r="J95" s="30"/>
      <c r="K95" s="17"/>
    </row>
    <row r="96" spans="1:15" s="12" customFormat="1" x14ac:dyDescent="0.2">
      <c r="A96" s="126" t="s">
        <v>25</v>
      </c>
      <c r="B96" s="428" t="s">
        <v>77</v>
      </c>
      <c r="C96" s="428"/>
      <c r="D96" s="428"/>
      <c r="E96" s="428"/>
      <c r="F96" s="428"/>
      <c r="G96" s="428"/>
      <c r="H96" s="4">
        <v>0</v>
      </c>
      <c r="I96" s="152">
        <f t="shared" si="1"/>
        <v>0</v>
      </c>
      <c r="J96" s="18"/>
      <c r="K96" s="30"/>
    </row>
    <row r="97" spans="1:14" s="12" customFormat="1" x14ac:dyDescent="0.2">
      <c r="A97" s="427" t="s">
        <v>78</v>
      </c>
      <c r="B97" s="427"/>
      <c r="C97" s="427"/>
      <c r="D97" s="427"/>
      <c r="E97" s="427"/>
      <c r="F97" s="427"/>
      <c r="G97" s="427"/>
      <c r="H97" s="5">
        <f>TRUNC(SUM(H91:H96),4)</f>
        <v>1.2800000000000001E-2</v>
      </c>
      <c r="I97" s="154">
        <f>TRUNC(SUM(I91:I96),2)</f>
        <v>36.479999999999997</v>
      </c>
      <c r="J97" s="3"/>
      <c r="K97" s="30"/>
    </row>
    <row r="98" spans="1:14" s="12" customFormat="1" x14ac:dyDescent="0.2">
      <c r="A98" s="440"/>
      <c r="B98" s="440"/>
      <c r="C98" s="440"/>
      <c r="D98" s="440"/>
      <c r="E98" s="440"/>
      <c r="F98" s="440"/>
      <c r="G98" s="440"/>
      <c r="H98" s="440"/>
      <c r="I98" s="440"/>
      <c r="J98" s="3"/>
      <c r="K98" s="30"/>
    </row>
    <row r="99" spans="1:14" s="12" customFormat="1" x14ac:dyDescent="0.2">
      <c r="A99" s="437" t="s">
        <v>79</v>
      </c>
      <c r="B99" s="437"/>
      <c r="C99" s="437"/>
      <c r="D99" s="437"/>
      <c r="E99" s="437"/>
      <c r="F99" s="437"/>
      <c r="G99" s="437"/>
      <c r="H99" s="129" t="s">
        <v>18</v>
      </c>
      <c r="I99" s="166" t="s">
        <v>19</v>
      </c>
      <c r="J99" s="3"/>
      <c r="K99" s="30"/>
    </row>
    <row r="100" spans="1:14" s="12" customFormat="1" x14ac:dyDescent="0.2">
      <c r="A100" s="368" t="s">
        <v>1</v>
      </c>
      <c r="B100" s="438" t="s">
        <v>80</v>
      </c>
      <c r="C100" s="438"/>
      <c r="D100" s="438"/>
      <c r="E100" s="438"/>
      <c r="F100" s="438"/>
      <c r="G100" s="438"/>
      <c r="H100" s="277">
        <v>0</v>
      </c>
      <c r="I100" s="369">
        <v>18.829999999999998</v>
      </c>
      <c r="J100" s="3"/>
      <c r="K100" s="30"/>
    </row>
    <row r="101" spans="1:14" s="12" customFormat="1" x14ac:dyDescent="0.2">
      <c r="A101" s="427" t="s">
        <v>81</v>
      </c>
      <c r="B101" s="427"/>
      <c r="C101" s="427"/>
      <c r="D101" s="427"/>
      <c r="E101" s="427"/>
      <c r="F101" s="427"/>
      <c r="G101" s="427"/>
      <c r="H101" s="5">
        <f>TRUNC(SUM(H100),4)</f>
        <v>0</v>
      </c>
      <c r="I101" s="152">
        <f>TRUNC(SUM(I100),2)</f>
        <v>18.829999999999998</v>
      </c>
      <c r="J101" s="3"/>
      <c r="K101" s="30"/>
    </row>
    <row r="102" spans="1:14" s="12" customFormat="1" x14ac:dyDescent="0.2">
      <c r="A102" s="439"/>
      <c r="B102" s="439"/>
      <c r="C102" s="439"/>
      <c r="D102" s="439"/>
      <c r="E102" s="439"/>
      <c r="F102" s="439"/>
      <c r="G102" s="439"/>
      <c r="H102" s="439"/>
      <c r="I102" s="439"/>
      <c r="J102" s="3"/>
      <c r="K102" s="30"/>
    </row>
    <row r="103" spans="1:14" s="12" customFormat="1" x14ac:dyDescent="0.2">
      <c r="A103" s="431" t="s">
        <v>82</v>
      </c>
      <c r="B103" s="431"/>
      <c r="C103" s="431"/>
      <c r="D103" s="431"/>
      <c r="E103" s="431"/>
      <c r="F103" s="431"/>
      <c r="G103" s="431"/>
      <c r="H103" s="431"/>
      <c r="I103" s="431"/>
      <c r="J103" s="3"/>
      <c r="K103" s="30"/>
    </row>
    <row r="104" spans="1:14" s="12" customFormat="1" x14ac:dyDescent="0.2">
      <c r="A104" s="427" t="s">
        <v>83</v>
      </c>
      <c r="B104" s="427"/>
      <c r="C104" s="427"/>
      <c r="D104" s="427"/>
      <c r="E104" s="427"/>
      <c r="F104" s="427"/>
      <c r="G104" s="427"/>
      <c r="H104" s="427"/>
      <c r="I104" s="150" t="s">
        <v>19</v>
      </c>
      <c r="J104" s="3"/>
      <c r="K104" s="30"/>
    </row>
    <row r="105" spans="1:14" s="12" customFormat="1" x14ac:dyDescent="0.2">
      <c r="A105" s="126" t="s">
        <v>84</v>
      </c>
      <c r="B105" s="471" t="s">
        <v>85</v>
      </c>
      <c r="C105" s="471"/>
      <c r="D105" s="471"/>
      <c r="E105" s="471"/>
      <c r="F105" s="471"/>
      <c r="G105" s="471"/>
      <c r="H105" s="471"/>
      <c r="I105" s="152">
        <f>I97</f>
        <v>36.479999999999997</v>
      </c>
      <c r="J105" s="3"/>
      <c r="K105" s="30"/>
    </row>
    <row r="106" spans="1:14" s="12" customFormat="1" x14ac:dyDescent="0.2">
      <c r="A106" s="126" t="s">
        <v>86</v>
      </c>
      <c r="B106" s="471" t="s">
        <v>87</v>
      </c>
      <c r="C106" s="471"/>
      <c r="D106" s="471"/>
      <c r="E106" s="471"/>
      <c r="F106" s="471"/>
      <c r="G106" s="471"/>
      <c r="H106" s="471"/>
      <c r="I106" s="152">
        <f>I101</f>
        <v>18.829999999999998</v>
      </c>
      <c r="J106" s="3"/>
      <c r="K106" s="30"/>
      <c r="M106" s="40"/>
      <c r="N106" s="56">
        <f>M106/2</f>
        <v>0</v>
      </c>
    </row>
    <row r="107" spans="1:14" s="12" customFormat="1" x14ac:dyDescent="0.2">
      <c r="A107" s="427" t="s">
        <v>88</v>
      </c>
      <c r="B107" s="427"/>
      <c r="C107" s="427"/>
      <c r="D107" s="427"/>
      <c r="E107" s="427"/>
      <c r="F107" s="427"/>
      <c r="G107" s="427"/>
      <c r="H107" s="427"/>
      <c r="I107" s="154">
        <f>TRUNC(SUM(I105:I106),2)</f>
        <v>55.31</v>
      </c>
      <c r="J107" s="3"/>
      <c r="K107" s="30"/>
    </row>
    <row r="108" spans="1:14" s="12" customFormat="1" x14ac:dyDescent="0.2">
      <c r="A108" s="436"/>
      <c r="B108" s="436"/>
      <c r="C108" s="436"/>
      <c r="D108" s="436"/>
      <c r="E108" s="436"/>
      <c r="F108" s="436"/>
      <c r="G108" s="436"/>
      <c r="H108" s="436"/>
      <c r="I108" s="436"/>
      <c r="J108" s="3"/>
      <c r="K108" s="30"/>
      <c r="M108" s="58"/>
    </row>
    <row r="109" spans="1:14" s="12" customFormat="1" x14ac:dyDescent="0.2">
      <c r="A109" s="431" t="s">
        <v>89</v>
      </c>
      <c r="B109" s="431"/>
      <c r="C109" s="431"/>
      <c r="D109" s="431"/>
      <c r="E109" s="431"/>
      <c r="F109" s="431"/>
      <c r="G109" s="431"/>
      <c r="H109" s="431"/>
      <c r="I109" s="431"/>
      <c r="J109" s="3"/>
      <c r="K109" s="30"/>
    </row>
    <row r="110" spans="1:14" s="12" customFormat="1" x14ac:dyDescent="0.2">
      <c r="A110" s="126">
        <v>5</v>
      </c>
      <c r="B110" s="427" t="s">
        <v>90</v>
      </c>
      <c r="C110" s="427"/>
      <c r="D110" s="427"/>
      <c r="E110" s="427"/>
      <c r="F110" s="427"/>
      <c r="G110" s="427"/>
      <c r="H110" s="126"/>
      <c r="I110" s="150" t="s">
        <v>19</v>
      </c>
      <c r="J110" s="3"/>
      <c r="K110" s="30"/>
    </row>
    <row r="111" spans="1:14" s="12" customFormat="1" x14ac:dyDescent="0.2">
      <c r="A111" s="126" t="s">
        <v>1</v>
      </c>
      <c r="B111" s="435" t="s">
        <v>91</v>
      </c>
      <c r="C111" s="435"/>
      <c r="D111" s="435"/>
      <c r="E111" s="435"/>
      <c r="F111" s="435"/>
      <c r="G111" s="435"/>
      <c r="H111" s="124" t="s">
        <v>92</v>
      </c>
      <c r="I111" s="152">
        <f>UNIFORME_EPI!H13</f>
        <v>53.9</v>
      </c>
      <c r="J111" s="3"/>
      <c r="K111" s="30"/>
    </row>
    <row r="112" spans="1:14" s="12" customFormat="1" x14ac:dyDescent="0.2">
      <c r="A112" s="126" t="s">
        <v>2</v>
      </c>
      <c r="B112" s="435" t="s">
        <v>447</v>
      </c>
      <c r="C112" s="435"/>
      <c r="D112" s="435"/>
      <c r="E112" s="435"/>
      <c r="F112" s="435"/>
      <c r="G112" s="435"/>
      <c r="H112" s="124" t="s">
        <v>92</v>
      </c>
      <c r="I112" s="152">
        <f>EQUIPAMENTOS!G16</f>
        <v>4.3181190476190476</v>
      </c>
      <c r="J112" s="3"/>
      <c r="K112" s="30"/>
    </row>
    <row r="113" spans="1:11" s="12" customFormat="1" x14ac:dyDescent="0.2">
      <c r="A113" s="19" t="s">
        <v>4</v>
      </c>
      <c r="B113" s="435" t="s">
        <v>212</v>
      </c>
      <c r="C113" s="435"/>
      <c r="D113" s="435"/>
      <c r="E113" s="435"/>
      <c r="F113" s="435"/>
      <c r="G113" s="435"/>
      <c r="H113" s="124" t="s">
        <v>92</v>
      </c>
      <c r="I113" s="152">
        <f>'RELÓGIO_ PONTO '!G8</f>
        <v>4.4444444444444438</v>
      </c>
      <c r="J113" s="3"/>
      <c r="K113" s="30"/>
    </row>
    <row r="114" spans="1:11" s="12" customFormat="1" x14ac:dyDescent="0.2">
      <c r="A114" s="427" t="s">
        <v>93</v>
      </c>
      <c r="B114" s="427"/>
      <c r="C114" s="427"/>
      <c r="D114" s="427"/>
      <c r="E114" s="427"/>
      <c r="F114" s="427"/>
      <c r="G114" s="427"/>
      <c r="H114" s="5" t="s">
        <v>92</v>
      </c>
      <c r="I114" s="152">
        <f>TRUNC(SUM(I111:I113),2)</f>
        <v>62.66</v>
      </c>
      <c r="J114" s="3"/>
      <c r="K114" s="30"/>
    </row>
    <row r="115" spans="1:11" s="12" customFormat="1" x14ac:dyDescent="0.2">
      <c r="A115" s="436"/>
      <c r="B115" s="436"/>
      <c r="C115" s="436"/>
      <c r="D115" s="436"/>
      <c r="E115" s="436"/>
      <c r="F115" s="436"/>
      <c r="G115" s="436"/>
      <c r="H115" s="436"/>
      <c r="I115" s="436"/>
      <c r="J115" s="3"/>
      <c r="K115" s="30"/>
    </row>
    <row r="116" spans="1:11" s="12" customFormat="1" x14ac:dyDescent="0.2">
      <c r="A116" s="431" t="s">
        <v>94</v>
      </c>
      <c r="B116" s="431"/>
      <c r="C116" s="431"/>
      <c r="D116" s="431"/>
      <c r="E116" s="431"/>
      <c r="F116" s="431"/>
      <c r="G116" s="431"/>
      <c r="H116" s="431"/>
      <c r="I116" s="431"/>
      <c r="J116" s="3"/>
      <c r="K116" s="30"/>
    </row>
    <row r="117" spans="1:11" s="12" customFormat="1" x14ac:dyDescent="0.2">
      <c r="A117" s="126">
        <v>6</v>
      </c>
      <c r="B117" s="427" t="s">
        <v>95</v>
      </c>
      <c r="C117" s="427"/>
      <c r="D117" s="427"/>
      <c r="E117" s="427"/>
      <c r="F117" s="427"/>
      <c r="G117" s="427"/>
      <c r="H117" s="126" t="s">
        <v>18</v>
      </c>
      <c r="I117" s="150" t="s">
        <v>19</v>
      </c>
      <c r="J117" s="3"/>
      <c r="K117" s="30"/>
    </row>
    <row r="118" spans="1:11" s="12" customFormat="1" x14ac:dyDescent="0.2">
      <c r="A118" s="126" t="s">
        <v>1</v>
      </c>
      <c r="B118" s="428" t="s">
        <v>96</v>
      </c>
      <c r="C118" s="428"/>
      <c r="D118" s="428"/>
      <c r="E118" s="428"/>
      <c r="F118" s="428"/>
      <c r="G118" s="428"/>
      <c r="H118" s="122">
        <v>0.03</v>
      </c>
      <c r="I118" s="152">
        <f>TRUNC(H118*I142,2)</f>
        <v>168.57</v>
      </c>
      <c r="J118" s="3"/>
      <c r="K118" s="30"/>
    </row>
    <row r="119" spans="1:11" s="12" customFormat="1" x14ac:dyDescent="0.2">
      <c r="A119" s="126" t="s">
        <v>2</v>
      </c>
      <c r="B119" s="428" t="s">
        <v>97</v>
      </c>
      <c r="C119" s="428"/>
      <c r="D119" s="428"/>
      <c r="E119" s="428"/>
      <c r="F119" s="428"/>
      <c r="G119" s="428"/>
      <c r="H119" s="122">
        <v>0.03</v>
      </c>
      <c r="I119" s="152">
        <f>TRUNC(H119*(I118+I142),2)</f>
        <v>173.63</v>
      </c>
      <c r="J119" s="3"/>
      <c r="K119" s="30"/>
    </row>
    <row r="120" spans="1:11" s="12" customFormat="1" x14ac:dyDescent="0.2">
      <c r="A120" s="126" t="s">
        <v>4</v>
      </c>
      <c r="B120" s="434" t="s">
        <v>98</v>
      </c>
      <c r="C120" s="434"/>
      <c r="D120" s="434"/>
      <c r="E120" s="434"/>
      <c r="F120" s="434"/>
      <c r="G120" s="434"/>
      <c r="H120" s="2"/>
      <c r="I120" s="152"/>
      <c r="J120" s="3"/>
      <c r="K120" s="30"/>
    </row>
    <row r="121" spans="1:11" s="12" customFormat="1" x14ac:dyDescent="0.2">
      <c r="A121" s="126" t="s">
        <v>99</v>
      </c>
      <c r="B121" s="428" t="s">
        <v>100</v>
      </c>
      <c r="C121" s="428"/>
      <c r="D121" s="428"/>
      <c r="E121" s="428"/>
      <c r="F121" s="428"/>
      <c r="G121" s="428"/>
      <c r="H121" s="20">
        <v>1.6500000000000001E-2</v>
      </c>
      <c r="I121" s="152">
        <f>TRUNC(H121*I131,2)</f>
        <v>114.7</v>
      </c>
      <c r="J121" s="3"/>
      <c r="K121" s="30"/>
    </row>
    <row r="122" spans="1:11" s="12" customFormat="1" x14ac:dyDescent="0.2">
      <c r="A122" s="126" t="s">
        <v>101</v>
      </c>
      <c r="B122" s="428" t="s">
        <v>102</v>
      </c>
      <c r="C122" s="428"/>
      <c r="D122" s="428"/>
      <c r="E122" s="428"/>
      <c r="F122" s="428"/>
      <c r="G122" s="428"/>
      <c r="H122" s="20">
        <v>7.5999999999999998E-2</v>
      </c>
      <c r="I122" s="152">
        <f>TRUNC(H122*I131,2)</f>
        <v>528.34</v>
      </c>
      <c r="J122" s="3"/>
      <c r="K122" s="30"/>
    </row>
    <row r="123" spans="1:11" s="12" customFormat="1" x14ac:dyDescent="0.2">
      <c r="A123" s="126" t="s">
        <v>103</v>
      </c>
      <c r="B123" s="428" t="s">
        <v>104</v>
      </c>
      <c r="C123" s="428"/>
      <c r="D123" s="428"/>
      <c r="E123" s="428"/>
      <c r="F123" s="428"/>
      <c r="G123" s="428"/>
      <c r="H123" s="20">
        <v>0.05</v>
      </c>
      <c r="I123" s="152">
        <f>TRUNC(H123*I131,2)</f>
        <v>347.59</v>
      </c>
      <c r="J123" s="3"/>
      <c r="K123" s="40"/>
    </row>
    <row r="124" spans="1:11" s="12" customFormat="1" x14ac:dyDescent="0.2">
      <c r="A124" s="427" t="s">
        <v>105</v>
      </c>
      <c r="B124" s="427"/>
      <c r="C124" s="427"/>
      <c r="D124" s="427"/>
      <c r="E124" s="427"/>
      <c r="F124" s="427"/>
      <c r="G124" s="427"/>
      <c r="H124" s="123">
        <f>SUM(H118:H123)</f>
        <v>0.20250000000000001</v>
      </c>
      <c r="I124" s="152">
        <f>TRUNC(SUM(I118:I123),2)</f>
        <v>1332.83</v>
      </c>
      <c r="J124" s="3"/>
      <c r="K124" s="30"/>
    </row>
    <row r="125" spans="1:11" s="12" customFormat="1" x14ac:dyDescent="0.2">
      <c r="A125" s="125"/>
      <c r="B125" s="432"/>
      <c r="C125" s="432"/>
      <c r="D125" s="432"/>
      <c r="E125" s="432"/>
      <c r="F125" s="432"/>
      <c r="G125" s="432"/>
      <c r="H125" s="432"/>
      <c r="I125" s="432"/>
      <c r="K125" s="30"/>
    </row>
    <row r="126" spans="1:11" s="12" customFormat="1" hidden="1" x14ac:dyDescent="0.2">
      <c r="A126" s="21" t="s">
        <v>106</v>
      </c>
      <c r="B126" s="491" t="s">
        <v>107</v>
      </c>
      <c r="C126" s="491"/>
      <c r="D126" s="491"/>
      <c r="E126" s="491"/>
      <c r="F126" s="491"/>
      <c r="G126" s="491"/>
      <c r="H126" s="22">
        <f>TRUNC(H121+H122+H123,4)</f>
        <v>0.14249999999999999</v>
      </c>
      <c r="I126" s="172"/>
      <c r="K126" s="30"/>
    </row>
    <row r="127" spans="1:11" s="12" customFormat="1" hidden="1" x14ac:dyDescent="0.2">
      <c r="A127" s="23"/>
      <c r="B127" s="488">
        <v>100</v>
      </c>
      <c r="C127" s="488"/>
      <c r="D127" s="488"/>
      <c r="E127" s="488"/>
      <c r="F127" s="488"/>
      <c r="G127" s="488"/>
      <c r="H127" s="24"/>
      <c r="I127" s="174"/>
      <c r="K127" s="30"/>
    </row>
    <row r="128" spans="1:11" s="12" customFormat="1" hidden="1" x14ac:dyDescent="0.2">
      <c r="A128" s="25"/>
      <c r="B128" s="131"/>
      <c r="C128" s="131"/>
      <c r="D128" s="131"/>
      <c r="E128" s="131"/>
      <c r="F128" s="131"/>
      <c r="G128" s="131"/>
      <c r="H128" s="24"/>
      <c r="I128" s="174"/>
      <c r="K128" s="30"/>
    </row>
    <row r="129" spans="1:11" s="12" customFormat="1" hidden="1" x14ac:dyDescent="0.2">
      <c r="A129" s="23" t="s">
        <v>108</v>
      </c>
      <c r="B129" s="488" t="s">
        <v>109</v>
      </c>
      <c r="C129" s="488"/>
      <c r="D129" s="488"/>
      <c r="E129" s="488"/>
      <c r="F129" s="488"/>
      <c r="G129" s="488"/>
      <c r="H129" s="24"/>
      <c r="I129" s="174">
        <f>TRUNC(I142+I118+I119,2)</f>
        <v>5961.32</v>
      </c>
      <c r="K129" s="30"/>
    </row>
    <row r="130" spans="1:11" s="12" customFormat="1" hidden="1" x14ac:dyDescent="0.2">
      <c r="A130" s="23"/>
      <c r="B130" s="131"/>
      <c r="C130" s="131"/>
      <c r="D130" s="131"/>
      <c r="E130" s="131"/>
      <c r="F130" s="131"/>
      <c r="G130" s="131"/>
      <c r="H130" s="24"/>
      <c r="I130" s="174"/>
      <c r="K130" s="30"/>
    </row>
    <row r="131" spans="1:11" s="12" customFormat="1" hidden="1" x14ac:dyDescent="0.2">
      <c r="A131" s="23" t="s">
        <v>110</v>
      </c>
      <c r="B131" s="488" t="s">
        <v>111</v>
      </c>
      <c r="C131" s="488"/>
      <c r="D131" s="488"/>
      <c r="E131" s="488"/>
      <c r="F131" s="488"/>
      <c r="G131" s="488"/>
      <c r="H131" s="24"/>
      <c r="I131" s="174">
        <f>TRUNC(I129/(1-H126),2)</f>
        <v>6951.97</v>
      </c>
      <c r="K131" s="30"/>
    </row>
    <row r="132" spans="1:11" s="12" customFormat="1" hidden="1" x14ac:dyDescent="0.2">
      <c r="A132" s="23"/>
      <c r="B132" s="131"/>
      <c r="C132" s="131"/>
      <c r="D132" s="131"/>
      <c r="E132" s="131"/>
      <c r="F132" s="131"/>
      <c r="G132" s="131"/>
      <c r="H132" s="24"/>
      <c r="I132" s="174"/>
      <c r="K132" s="30"/>
    </row>
    <row r="133" spans="1:11" s="12" customFormat="1" hidden="1" x14ac:dyDescent="0.2">
      <c r="A133" s="26"/>
      <c r="B133" s="489" t="s">
        <v>112</v>
      </c>
      <c r="C133" s="489"/>
      <c r="D133" s="489"/>
      <c r="E133" s="489"/>
      <c r="F133" s="489"/>
      <c r="G133" s="489"/>
      <c r="H133" s="27"/>
      <c r="I133" s="177">
        <f>TRUNC(I131-I129,2)</f>
        <v>990.65</v>
      </c>
      <c r="K133" s="28"/>
    </row>
    <row r="134" spans="1:11" s="12" customFormat="1" ht="2.25" customHeight="1" x14ac:dyDescent="0.2">
      <c r="A134" s="125"/>
      <c r="B134" s="125"/>
      <c r="C134" s="125"/>
      <c r="D134" s="125"/>
      <c r="E134" s="125"/>
      <c r="F134" s="125"/>
      <c r="G134" s="125"/>
      <c r="H134" s="125"/>
      <c r="I134" s="178"/>
      <c r="K134" s="30"/>
    </row>
    <row r="135" spans="1:11" s="12" customFormat="1" x14ac:dyDescent="0.2">
      <c r="A135" s="490" t="s">
        <v>113</v>
      </c>
      <c r="B135" s="490"/>
      <c r="C135" s="490"/>
      <c r="D135" s="490"/>
      <c r="E135" s="490"/>
      <c r="F135" s="490"/>
      <c r="G135" s="490"/>
      <c r="H135" s="490"/>
      <c r="I135" s="490"/>
      <c r="K135" s="29"/>
    </row>
    <row r="136" spans="1:11" s="12" customFormat="1" x14ac:dyDescent="0.2">
      <c r="A136" s="427" t="s">
        <v>114</v>
      </c>
      <c r="B136" s="427"/>
      <c r="C136" s="427"/>
      <c r="D136" s="427"/>
      <c r="E136" s="427"/>
      <c r="F136" s="427"/>
      <c r="G136" s="427"/>
      <c r="H136" s="427"/>
      <c r="I136" s="150" t="s">
        <v>19</v>
      </c>
      <c r="K136" s="30"/>
    </row>
    <row r="137" spans="1:11" s="12" customFormat="1" x14ac:dyDescent="0.2">
      <c r="A137" s="124" t="s">
        <v>1</v>
      </c>
      <c r="B137" s="428" t="str">
        <f>A27</f>
        <v>MÓDULO 1 - COMPOSIÇÃO DA REMUNERAÇÃO</v>
      </c>
      <c r="C137" s="428"/>
      <c r="D137" s="428"/>
      <c r="E137" s="428"/>
      <c r="F137" s="428"/>
      <c r="G137" s="428"/>
      <c r="H137" s="428"/>
      <c r="I137" s="152">
        <f>I35</f>
        <v>2850.44</v>
      </c>
      <c r="K137" s="30"/>
    </row>
    <row r="138" spans="1:11" s="12" customFormat="1" x14ac:dyDescent="0.2">
      <c r="A138" s="124" t="s">
        <v>2</v>
      </c>
      <c r="B138" s="428" t="str">
        <f>A37</f>
        <v>MÓDULO 2 – ENCARGOS E BENEFÍCIOS ANUAIS, MENSAIS E DIÁRIOS</v>
      </c>
      <c r="C138" s="428"/>
      <c r="D138" s="428"/>
      <c r="E138" s="428"/>
      <c r="F138" s="428"/>
      <c r="G138" s="428"/>
      <c r="H138" s="428"/>
      <c r="I138" s="152">
        <f>I78</f>
        <v>2445.23</v>
      </c>
      <c r="K138" s="30"/>
    </row>
    <row r="139" spans="1:11" s="12" customFormat="1" x14ac:dyDescent="0.2">
      <c r="A139" s="124" t="s">
        <v>4</v>
      </c>
      <c r="B139" s="428" t="str">
        <f>A80</f>
        <v>MÓDULO 3 – PROVISÃO PARA RESCISÃO</v>
      </c>
      <c r="C139" s="428"/>
      <c r="D139" s="428"/>
      <c r="E139" s="428"/>
      <c r="F139" s="428"/>
      <c r="G139" s="428"/>
      <c r="H139" s="428"/>
      <c r="I139" s="152">
        <f>I87</f>
        <v>205.48</v>
      </c>
      <c r="K139" s="29"/>
    </row>
    <row r="140" spans="1:11" s="12" customFormat="1" x14ac:dyDescent="0.2">
      <c r="A140" s="124" t="s">
        <v>6</v>
      </c>
      <c r="B140" s="428" t="str">
        <f>A89</f>
        <v>MÓDULO 4 – CUSTO DE REPOSIÇÃO DO PROFISSIONAL AUSENTE</v>
      </c>
      <c r="C140" s="428"/>
      <c r="D140" s="428"/>
      <c r="E140" s="428"/>
      <c r="F140" s="428"/>
      <c r="G140" s="428"/>
      <c r="H140" s="428"/>
      <c r="I140" s="152">
        <f>I107</f>
        <v>55.31</v>
      </c>
      <c r="K140" s="29"/>
    </row>
    <row r="141" spans="1:11" s="12" customFormat="1" x14ac:dyDescent="0.2">
      <c r="A141" s="124" t="s">
        <v>23</v>
      </c>
      <c r="B141" s="428" t="str">
        <f>A109</f>
        <v>MÓDULO 5 – INSUMOS DIVERSOS</v>
      </c>
      <c r="C141" s="428"/>
      <c r="D141" s="428"/>
      <c r="E141" s="428"/>
      <c r="F141" s="428"/>
      <c r="G141" s="428"/>
      <c r="H141" s="428"/>
      <c r="I141" s="152">
        <f>I114</f>
        <v>62.66</v>
      </c>
      <c r="K141" s="30"/>
    </row>
    <row r="142" spans="1:11" s="12" customFormat="1" x14ac:dyDescent="0.2">
      <c r="A142" s="126"/>
      <c r="B142" s="427" t="s">
        <v>115</v>
      </c>
      <c r="C142" s="427"/>
      <c r="D142" s="427"/>
      <c r="E142" s="427"/>
      <c r="F142" s="427"/>
      <c r="G142" s="427"/>
      <c r="H142" s="427"/>
      <c r="I142" s="152">
        <f>TRUNC(SUM(I137:I141),2)</f>
        <v>5619.12</v>
      </c>
      <c r="J142" s="40"/>
      <c r="K142" s="28"/>
    </row>
    <row r="143" spans="1:11" s="12" customFormat="1" x14ac:dyDescent="0.2">
      <c r="A143" s="124" t="s">
        <v>25</v>
      </c>
      <c r="B143" s="428" t="str">
        <f>A116</f>
        <v>MÓDULO 6 – CUSTOS INDIRETOS, TRIBUTOS E LUCRO</v>
      </c>
      <c r="C143" s="428"/>
      <c r="D143" s="428"/>
      <c r="E143" s="428"/>
      <c r="F143" s="428"/>
      <c r="G143" s="428"/>
      <c r="H143" s="428"/>
      <c r="I143" s="152">
        <f>I124</f>
        <v>1332.83</v>
      </c>
    </row>
    <row r="144" spans="1:11" s="12" customFormat="1" x14ac:dyDescent="0.2">
      <c r="A144" s="427" t="s">
        <v>116</v>
      </c>
      <c r="B144" s="427"/>
      <c r="C144" s="427"/>
      <c r="D144" s="427"/>
      <c r="E144" s="427"/>
      <c r="F144" s="427"/>
      <c r="G144" s="427"/>
      <c r="H144" s="427"/>
      <c r="I144" s="179">
        <f>TRUNC(SUM(I142:I143),2)</f>
        <v>6951.95</v>
      </c>
      <c r="J144" s="56"/>
      <c r="K144" s="56"/>
    </row>
    <row r="145" spans="1:9" s="12" customFormat="1" x14ac:dyDescent="0.2">
      <c r="A145" s="30"/>
      <c r="B145" s="30"/>
      <c r="C145" s="30"/>
      <c r="D145" s="30"/>
      <c r="E145" s="30"/>
      <c r="F145" s="30"/>
      <c r="G145" s="30"/>
      <c r="H145" s="30"/>
      <c r="I145" s="181"/>
    </row>
  </sheetData>
  <mergeCells count="148">
    <mergeCell ref="A1:I1"/>
    <mergeCell ref="A2:I2"/>
    <mergeCell ref="A4:I4"/>
    <mergeCell ref="A6:I6"/>
    <mergeCell ref="A8:I8"/>
    <mergeCell ref="B139:H139"/>
    <mergeCell ref="B140:H140"/>
    <mergeCell ref="B141:H141"/>
    <mergeCell ref="B142:H142"/>
    <mergeCell ref="B117:G117"/>
    <mergeCell ref="B118:G118"/>
    <mergeCell ref="B119:G119"/>
    <mergeCell ref="B120:G120"/>
    <mergeCell ref="B121:G121"/>
    <mergeCell ref="B122:G122"/>
    <mergeCell ref="B112:G112"/>
    <mergeCell ref="B113:G113"/>
    <mergeCell ref="A114:G114"/>
    <mergeCell ref="A115:I115"/>
    <mergeCell ref="A116:I116"/>
    <mergeCell ref="B106:H106"/>
    <mergeCell ref="A107:H107"/>
    <mergeCell ref="A108:I108"/>
    <mergeCell ref="A109:I109"/>
    <mergeCell ref="B143:H143"/>
    <mergeCell ref="A144:H144"/>
    <mergeCell ref="B131:G131"/>
    <mergeCell ref="B133:G133"/>
    <mergeCell ref="A135:I135"/>
    <mergeCell ref="A136:H136"/>
    <mergeCell ref="B137:H137"/>
    <mergeCell ref="B138:H138"/>
    <mergeCell ref="B123:G123"/>
    <mergeCell ref="A124:G124"/>
    <mergeCell ref="B125:I125"/>
    <mergeCell ref="B126:G126"/>
    <mergeCell ref="B127:G127"/>
    <mergeCell ref="B129:G129"/>
    <mergeCell ref="B110:G110"/>
    <mergeCell ref="B111:G111"/>
    <mergeCell ref="B100:G100"/>
    <mergeCell ref="A101:G101"/>
    <mergeCell ref="A102:I102"/>
    <mergeCell ref="A103:I103"/>
    <mergeCell ref="A104:H104"/>
    <mergeCell ref="B105:H105"/>
    <mergeCell ref="B94:G94"/>
    <mergeCell ref="B95:G95"/>
    <mergeCell ref="B96:G96"/>
    <mergeCell ref="A97:G97"/>
    <mergeCell ref="A98:I98"/>
    <mergeCell ref="A99:G99"/>
    <mergeCell ref="A88:I88"/>
    <mergeCell ref="A89:I89"/>
    <mergeCell ref="A90:G90"/>
    <mergeCell ref="B91:G91"/>
    <mergeCell ref="B92:G92"/>
    <mergeCell ref="B93:G93"/>
    <mergeCell ref="B83:G83"/>
    <mergeCell ref="B84:G84"/>
    <mergeCell ref="B85:G85"/>
    <mergeCell ref="B86:G86"/>
    <mergeCell ref="A87:G87"/>
    <mergeCell ref="B76:H76"/>
    <mergeCell ref="B77:H77"/>
    <mergeCell ref="A78:H78"/>
    <mergeCell ref="A80:I80"/>
    <mergeCell ref="B81:G81"/>
    <mergeCell ref="B82:G82"/>
    <mergeCell ref="A70:I70"/>
    <mergeCell ref="A71:I71"/>
    <mergeCell ref="A72:I72"/>
    <mergeCell ref="A73:I73"/>
    <mergeCell ref="A74:H74"/>
    <mergeCell ref="B75:H75"/>
    <mergeCell ref="B65:G65"/>
    <mergeCell ref="B66:G66"/>
    <mergeCell ref="A67:H67"/>
    <mergeCell ref="A68:I68"/>
    <mergeCell ref="A69:I69"/>
    <mergeCell ref="J69:R69"/>
    <mergeCell ref="A59:I59"/>
    <mergeCell ref="A60:G60"/>
    <mergeCell ref="B61:G61"/>
    <mergeCell ref="B62:G62"/>
    <mergeCell ref="B63:G63"/>
    <mergeCell ref="B64:G64"/>
    <mergeCell ref="B53:G53"/>
    <mergeCell ref="B54:G54"/>
    <mergeCell ref="B55:G55"/>
    <mergeCell ref="B56:G56"/>
    <mergeCell ref="B57:G57"/>
    <mergeCell ref="A58:G58"/>
    <mergeCell ref="A47:I47"/>
    <mergeCell ref="A48:G48"/>
    <mergeCell ref="B49:G49"/>
    <mergeCell ref="B50:G50"/>
    <mergeCell ref="B51:G52"/>
    <mergeCell ref="I51:I52"/>
    <mergeCell ref="B40:G40"/>
    <mergeCell ref="B42:G42"/>
    <mergeCell ref="A44:I44"/>
    <mergeCell ref="A45:I45"/>
    <mergeCell ref="A46:I46"/>
    <mergeCell ref="B34:G34"/>
    <mergeCell ref="A35:H35"/>
    <mergeCell ref="A36:I36"/>
    <mergeCell ref="A37:I37"/>
    <mergeCell ref="A38:G38"/>
    <mergeCell ref="B39:G39"/>
    <mergeCell ref="A41:G41"/>
    <mergeCell ref="A43:G43"/>
    <mergeCell ref="B28:G28"/>
    <mergeCell ref="B29:G29"/>
    <mergeCell ref="B30:G30"/>
    <mergeCell ref="B31:G31"/>
    <mergeCell ref="B32:G32"/>
    <mergeCell ref="B33:G33"/>
    <mergeCell ref="B24:G24"/>
    <mergeCell ref="H24:I24"/>
    <mergeCell ref="B25:G25"/>
    <mergeCell ref="H25:I25"/>
    <mergeCell ref="A26:I26"/>
    <mergeCell ref="A27:I27"/>
    <mergeCell ref="A20:I20"/>
    <mergeCell ref="B21:G21"/>
    <mergeCell ref="H21:I21"/>
    <mergeCell ref="B22:G22"/>
    <mergeCell ref="H22:I22"/>
    <mergeCell ref="B23:G23"/>
    <mergeCell ref="H23:I23"/>
    <mergeCell ref="A3:I3"/>
    <mergeCell ref="A10:I10"/>
    <mergeCell ref="B11:G11"/>
    <mergeCell ref="H11:I11"/>
    <mergeCell ref="A16:I16"/>
    <mergeCell ref="A17:B17"/>
    <mergeCell ref="C17:D17"/>
    <mergeCell ref="E17:I17"/>
    <mergeCell ref="A18:B18"/>
    <mergeCell ref="C18:D18"/>
    <mergeCell ref="E18:I18"/>
    <mergeCell ref="B12:G12"/>
    <mergeCell ref="H12:I12"/>
    <mergeCell ref="B13:G13"/>
    <mergeCell ref="H13:I13"/>
    <mergeCell ref="B14:G14"/>
    <mergeCell ref="H14:I14"/>
  </mergeCells>
  <pageMargins left="0.51181102362204722" right="0.51181102362204722" top="1.6535433070866143" bottom="1.299212598425197" header="0.11811023622047245" footer="0.31496062992125984"/>
  <pageSetup paperSize="9" scale="74" orientation="portrait" r:id="rId1"/>
  <rowBreaks count="1" manualBreakCount="1">
    <brk id="71" max="8" man="1"/>
  </rowBreaks>
  <legacy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15</vt:i4>
      </vt:variant>
    </vt:vector>
  </HeadingPairs>
  <TitlesOfParts>
    <vt:vector size="33" baseType="lpstr">
      <vt:lpstr>QUADRO RESUMO</vt:lpstr>
      <vt:lpstr> VIGILANTES DIURNO</vt:lpstr>
      <vt:lpstr>PLAQUATAS DE IDENTIFICAÇÃO</vt:lpstr>
      <vt:lpstr>VIGILANTES NOTURNOS</vt:lpstr>
      <vt:lpstr>VIG.MOTORIZADO DIUR.</vt:lpstr>
      <vt:lpstr>VIG.MOTORIZADO NOTURNO</vt:lpstr>
      <vt:lpstr>VIGILANTES 44 H</vt:lpstr>
      <vt:lpstr>SUPERVISOR</vt:lpstr>
      <vt:lpstr>VIGILANTE 12x36 SEG, A SEXTA</vt:lpstr>
      <vt:lpstr> V.A_VT</vt:lpstr>
      <vt:lpstr>RELÓGIO DE PONTO</vt:lpstr>
      <vt:lpstr>MATERIAL</vt:lpstr>
      <vt:lpstr>EQUIPAMENTO</vt:lpstr>
      <vt:lpstr>RELÓGIO_ PONTO </vt:lpstr>
      <vt:lpstr>MOTOCICLETA</vt:lpstr>
      <vt:lpstr>UNIFORME_EPI</vt:lpstr>
      <vt:lpstr>EQUIPAMENTOS</vt:lpstr>
      <vt:lpstr>MEMORIA DE CALCULO</vt:lpstr>
      <vt:lpstr>' V.A_VT'!Area_de_impressao</vt:lpstr>
      <vt:lpstr>' VIGILANTES DIURNO'!Area_de_impressao</vt:lpstr>
      <vt:lpstr>EQUIPAMENTOS!Area_de_impressao</vt:lpstr>
      <vt:lpstr>'MEMORIA DE CALCULO'!Area_de_impressao</vt:lpstr>
      <vt:lpstr>MOTOCICLETA!Area_de_impressao</vt:lpstr>
      <vt:lpstr>'PLAQUATAS DE IDENTIFICAÇÃO'!Area_de_impressao</vt:lpstr>
      <vt:lpstr>'RELÓGIO DE PONTO'!Area_de_impressao</vt:lpstr>
      <vt:lpstr>'RELÓGIO_ PONTO '!Area_de_impressao</vt:lpstr>
      <vt:lpstr>SUPERVISOR!Area_de_impressao</vt:lpstr>
      <vt:lpstr>UNIFORME_EPI!Area_de_impressao</vt:lpstr>
      <vt:lpstr>'VIG.MOTORIZADO DIUR.'!Area_de_impressao</vt:lpstr>
      <vt:lpstr>'VIG.MOTORIZADO NOTURNO'!Area_de_impressao</vt:lpstr>
      <vt:lpstr>'VIGILANTE 12x36 SEG, A SEXTA'!Area_de_impressao</vt:lpstr>
      <vt:lpstr>'VIGILANTES 44 H'!Area_de_impressao</vt:lpstr>
      <vt:lpstr>'VIGILANTES NOTURNOS'!Area_de_impressao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Elizabeth Santa Cruz Amaral</cp:lastModifiedBy>
  <cp:revision>1</cp:revision>
  <cp:lastPrinted>2020-01-14T12:54:55Z</cp:lastPrinted>
  <dcterms:created xsi:type="dcterms:W3CDTF">2010-12-08T17:56:29Z</dcterms:created>
  <dcterms:modified xsi:type="dcterms:W3CDTF">2020-02-14T19:26:30Z</dcterms:modified>
  <dc:language>pt-BR</dc:language>
</cp:coreProperties>
</file>