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12492\Desktop\Debora\2 - Limpeza Doint\DOC V. 4 - Pós Jurídica\"/>
    </mc:Choice>
  </mc:AlternateContent>
  <bookViews>
    <workbookView xWindow="0" yWindow="0" windowWidth="22080" windowHeight="11145" activeTab="6"/>
  </bookViews>
  <sheets>
    <sheet name="Bloco 1" sheetId="1" r:id="rId1"/>
    <sheet name="Bloco 2" sheetId="2" r:id="rId2"/>
    <sheet name="Bloco 3" sheetId="3" r:id="rId3"/>
    <sheet name="Castelo D' água" sheetId="4" r:id="rId4"/>
    <sheet name="Resumo" sheetId="5" r:id="rId5"/>
    <sheet name="Composição do BDI" sheetId="6" r:id="rId6"/>
    <sheet name="Composição de Encargos Sociais" sheetId="7" r:id="rId7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" i="5" l="1"/>
  <c r="E6" i="5" l="1"/>
  <c r="G37" i="4"/>
  <c r="G35" i="4"/>
  <c r="H38" i="4"/>
  <c r="I38" i="4" s="1"/>
  <c r="H37" i="4"/>
  <c r="H35" i="4"/>
  <c r="H36" i="4"/>
  <c r="I36" i="4" s="1"/>
  <c r="H52" i="4"/>
  <c r="I52" i="4" s="1"/>
  <c r="I53" i="4" s="1"/>
  <c r="C8" i="4" s="1"/>
  <c r="H26" i="4"/>
  <c r="I26" i="4" s="1"/>
  <c r="I27" i="4" s="1"/>
  <c r="C5" i="4" s="1"/>
  <c r="H43" i="4"/>
  <c r="I43" i="4" s="1"/>
  <c r="H42" i="4"/>
  <c r="I42" i="4" s="1"/>
  <c r="H41" i="4"/>
  <c r="I41" i="4" s="1"/>
  <c r="H40" i="4"/>
  <c r="G40" i="4"/>
  <c r="H39" i="4"/>
  <c r="G39" i="4"/>
  <c r="H48" i="4"/>
  <c r="I48" i="4" s="1"/>
  <c r="H34" i="4"/>
  <c r="G34" i="4"/>
  <c r="H33" i="4"/>
  <c r="G33" i="4"/>
  <c r="H32" i="4"/>
  <c r="G32" i="4"/>
  <c r="H47" i="4"/>
  <c r="I47" i="4" s="1"/>
  <c r="H21" i="4"/>
  <c r="I21" i="4" s="1"/>
  <c r="H20" i="4"/>
  <c r="I20" i="4" s="1"/>
  <c r="I22" i="4" s="1"/>
  <c r="C4" i="4" s="1"/>
  <c r="H31" i="4"/>
  <c r="G31" i="4"/>
  <c r="F8" i="5"/>
  <c r="F9" i="5"/>
  <c r="F10" i="5"/>
  <c r="E10" i="5"/>
  <c r="E9" i="5"/>
  <c r="I40" i="4" l="1"/>
  <c r="I37" i="4"/>
  <c r="I35" i="4"/>
  <c r="H30" i="4"/>
  <c r="I30" i="4" s="1"/>
  <c r="I31" i="4"/>
  <c r="I39" i="4"/>
  <c r="I49" i="4"/>
  <c r="C7" i="4" s="1"/>
  <c r="I33" i="4"/>
  <c r="I32" i="4"/>
  <c r="I34" i="4"/>
  <c r="D17" i="6"/>
  <c r="I44" i="4" l="1"/>
  <c r="C6" i="4" s="1"/>
  <c r="F36" i="7"/>
  <c r="E36" i="7"/>
  <c r="F33" i="7"/>
  <c r="E33" i="7"/>
  <c r="F27" i="7"/>
  <c r="E27" i="7"/>
  <c r="F16" i="7"/>
  <c r="E16" i="7"/>
  <c r="D15" i="6"/>
  <c r="D12" i="6" s="1"/>
  <c r="D10" i="6"/>
  <c r="D8" i="6"/>
  <c r="D5" i="6"/>
  <c r="D6" i="5"/>
  <c r="C6" i="5"/>
  <c r="B6" i="5"/>
  <c r="D9" i="1"/>
  <c r="C7" i="1"/>
  <c r="D9" i="3"/>
  <c r="C7" i="2"/>
  <c r="C7" i="3"/>
  <c r="Q126" i="3"/>
  <c r="R126" i="3" s="1"/>
  <c r="N125" i="3"/>
  <c r="Q125" i="3" s="1"/>
  <c r="R125" i="3" s="1"/>
  <c r="Q124" i="3"/>
  <c r="R124" i="3" s="1"/>
  <c r="N123" i="3"/>
  <c r="Q123" i="3" s="1"/>
  <c r="R123" i="3" s="1"/>
  <c r="R122" i="3"/>
  <c r="Q122" i="3"/>
  <c r="Q121" i="3"/>
  <c r="R121" i="3" s="1"/>
  <c r="Q120" i="3"/>
  <c r="R120" i="3" s="1"/>
  <c r="Q119" i="3"/>
  <c r="R119" i="3" s="1"/>
  <c r="N118" i="3"/>
  <c r="Q118" i="3" s="1"/>
  <c r="R118" i="3" s="1"/>
  <c r="Q117" i="3"/>
  <c r="R117" i="3" s="1"/>
  <c r="N116" i="3"/>
  <c r="Q116" i="3" s="1"/>
  <c r="R116" i="3" s="1"/>
  <c r="O115" i="3"/>
  <c r="N115" i="3"/>
  <c r="Q114" i="3"/>
  <c r="R114" i="3" s="1"/>
  <c r="O113" i="3"/>
  <c r="N113" i="3"/>
  <c r="O112" i="3"/>
  <c r="N112" i="3"/>
  <c r="Q112" i="3" s="1"/>
  <c r="R112" i="3" s="1"/>
  <c r="Q111" i="3"/>
  <c r="R111" i="3" s="1"/>
  <c r="O110" i="3"/>
  <c r="N110" i="3"/>
  <c r="O109" i="3"/>
  <c r="N109" i="3"/>
  <c r="Q108" i="3"/>
  <c r="R108" i="3" s="1"/>
  <c r="O107" i="3"/>
  <c r="N107" i="3"/>
  <c r="Q107" i="3" s="1"/>
  <c r="R107" i="3" s="1"/>
  <c r="O106" i="3"/>
  <c r="N106" i="3"/>
  <c r="Q105" i="3"/>
  <c r="R105" i="3" s="1"/>
  <c r="O104" i="3"/>
  <c r="N104" i="3"/>
  <c r="Q103" i="3"/>
  <c r="R103" i="3" s="1"/>
  <c r="O102" i="3"/>
  <c r="Q102" i="3" s="1"/>
  <c r="R102" i="3" s="1"/>
  <c r="N101" i="3"/>
  <c r="Q101" i="3" s="1"/>
  <c r="R101" i="3" s="1"/>
  <c r="Q100" i="3"/>
  <c r="R100" i="3" s="1"/>
  <c r="Q99" i="3"/>
  <c r="R99" i="3" s="1"/>
  <c r="O98" i="3"/>
  <c r="Q98" i="3" s="1"/>
  <c r="R98" i="3" s="1"/>
  <c r="N97" i="3"/>
  <c r="Q97" i="3" s="1"/>
  <c r="R97" i="3" s="1"/>
  <c r="Q96" i="3"/>
  <c r="R96" i="3" s="1"/>
  <c r="O95" i="3"/>
  <c r="Q95" i="3" s="1"/>
  <c r="R95" i="3" s="1"/>
  <c r="N94" i="3"/>
  <c r="Q94" i="3" s="1"/>
  <c r="R94" i="3" s="1"/>
  <c r="Q93" i="3"/>
  <c r="R93" i="3" s="1"/>
  <c r="Q92" i="3"/>
  <c r="R92" i="3" s="1"/>
  <c r="O91" i="3"/>
  <c r="Q91" i="3" s="1"/>
  <c r="R91" i="3" s="1"/>
  <c r="N90" i="3"/>
  <c r="Q90" i="3" s="1"/>
  <c r="R90" i="3" s="1"/>
  <c r="O89" i="3"/>
  <c r="N89" i="3"/>
  <c r="Q88" i="3"/>
  <c r="R88" i="3" s="1"/>
  <c r="O87" i="3"/>
  <c r="N87" i="3"/>
  <c r="Q87" i="3" s="1"/>
  <c r="R87" i="3" s="1"/>
  <c r="O86" i="3"/>
  <c r="N86" i="3"/>
  <c r="Q85" i="3"/>
  <c r="R85" i="3" s="1"/>
  <c r="O84" i="3"/>
  <c r="N84" i="3"/>
  <c r="Q84" i="3" s="1"/>
  <c r="R84" i="3" s="1"/>
  <c r="N83" i="3"/>
  <c r="Q83" i="3" s="1"/>
  <c r="R83" i="3" s="1"/>
  <c r="Q82" i="3"/>
  <c r="R82" i="3" s="1"/>
  <c r="N81" i="3"/>
  <c r="Q81" i="3" s="1"/>
  <c r="R81" i="3" s="1"/>
  <c r="Q80" i="3"/>
  <c r="R80" i="3" s="1"/>
  <c r="Q79" i="3"/>
  <c r="R79" i="3" s="1"/>
  <c r="Q78" i="3"/>
  <c r="R78" i="3" s="1"/>
  <c r="O77" i="3"/>
  <c r="N77" i="3"/>
  <c r="Q76" i="3"/>
  <c r="R76" i="3" s="1"/>
  <c r="O75" i="3"/>
  <c r="N75" i="3"/>
  <c r="Q75" i="3" s="1"/>
  <c r="R75" i="3" s="1"/>
  <c r="Q74" i="3"/>
  <c r="R74" i="3" s="1"/>
  <c r="O73" i="3"/>
  <c r="N73" i="3"/>
  <c r="Q72" i="3"/>
  <c r="R72" i="3" s="1"/>
  <c r="O71" i="3"/>
  <c r="N71" i="3"/>
  <c r="Q71" i="3" s="1"/>
  <c r="R71" i="3" s="1"/>
  <c r="O70" i="3"/>
  <c r="Q70" i="3" s="1"/>
  <c r="R70" i="3" s="1"/>
  <c r="Q69" i="3"/>
  <c r="R69" i="3" s="1"/>
  <c r="Q67" i="3"/>
  <c r="R67" i="3" s="1"/>
  <c r="N66" i="3"/>
  <c r="Q66" i="3" s="1"/>
  <c r="R66" i="3" s="1"/>
  <c r="Q65" i="3"/>
  <c r="R65" i="3" s="1"/>
  <c r="N64" i="3"/>
  <c r="Q64" i="3" s="1"/>
  <c r="R64" i="3" s="1"/>
  <c r="Q63" i="3"/>
  <c r="R63" i="3" s="1"/>
  <c r="Q62" i="3"/>
  <c r="R62" i="3" s="1"/>
  <c r="O61" i="3"/>
  <c r="Q61" i="3" s="1"/>
  <c r="R61" i="3" s="1"/>
  <c r="Q60" i="3"/>
  <c r="R60" i="3" s="1"/>
  <c r="O59" i="3"/>
  <c r="Q59" i="3" s="1"/>
  <c r="R59" i="3" s="1"/>
  <c r="Q58" i="3"/>
  <c r="R58" i="3" s="1"/>
  <c r="I86" i="3"/>
  <c r="H85" i="3"/>
  <c r="I85" i="3" s="1"/>
  <c r="H84" i="3"/>
  <c r="I84" i="3" s="1"/>
  <c r="H83" i="3"/>
  <c r="I83" i="3" s="1"/>
  <c r="H82" i="3"/>
  <c r="I82" i="3" s="1"/>
  <c r="H81" i="3"/>
  <c r="I81" i="3" s="1"/>
  <c r="H80" i="3"/>
  <c r="I80" i="3" s="1"/>
  <c r="H79" i="3"/>
  <c r="I79" i="3" s="1"/>
  <c r="I78" i="3"/>
  <c r="I77" i="3"/>
  <c r="H76" i="3"/>
  <c r="I76" i="3" s="1"/>
  <c r="H75" i="3"/>
  <c r="I75" i="3" s="1"/>
  <c r="H74" i="3"/>
  <c r="I74" i="3" s="1"/>
  <c r="H73" i="3"/>
  <c r="I73" i="3" s="1"/>
  <c r="H72" i="3"/>
  <c r="I72" i="3" s="1"/>
  <c r="H71" i="3"/>
  <c r="I71" i="3" s="1"/>
  <c r="H70" i="3"/>
  <c r="I70" i="3" s="1"/>
  <c r="I69" i="3"/>
  <c r="H67" i="3"/>
  <c r="I67" i="3" s="1"/>
  <c r="I66" i="3"/>
  <c r="H65" i="3"/>
  <c r="I65" i="3" s="1"/>
  <c r="H64" i="3"/>
  <c r="I64" i="3" s="1"/>
  <c r="I63" i="3"/>
  <c r="H62" i="3"/>
  <c r="I62" i="3" s="1"/>
  <c r="I61" i="3"/>
  <c r="H60" i="3"/>
  <c r="I60" i="3" s="1"/>
  <c r="H59" i="3"/>
  <c r="I59" i="3" s="1"/>
  <c r="I58" i="3"/>
  <c r="P27" i="3"/>
  <c r="Q27" i="3" s="1"/>
  <c r="P26" i="3"/>
  <c r="Q26" i="3" s="1"/>
  <c r="P25" i="3"/>
  <c r="Q25" i="3" s="1"/>
  <c r="P24" i="3"/>
  <c r="Q24" i="3" s="1"/>
  <c r="P23" i="3"/>
  <c r="Q23" i="3" s="1"/>
  <c r="P22" i="3"/>
  <c r="Q22" i="3" s="1"/>
  <c r="P21" i="3"/>
  <c r="Q21" i="3" s="1"/>
  <c r="P20" i="3"/>
  <c r="Q20" i="3" s="1"/>
  <c r="P19" i="3"/>
  <c r="Q19" i="3" s="1"/>
  <c r="P18" i="3"/>
  <c r="Q18" i="3" s="1"/>
  <c r="P17" i="3"/>
  <c r="O17" i="3"/>
  <c r="H52" i="3"/>
  <c r="I52" i="3" s="1"/>
  <c r="H51" i="3"/>
  <c r="I51" i="3" s="1"/>
  <c r="H50" i="3"/>
  <c r="I50" i="3" s="1"/>
  <c r="H49" i="3"/>
  <c r="I49" i="3" s="1"/>
  <c r="H48" i="3"/>
  <c r="I48" i="3" s="1"/>
  <c r="H47" i="3"/>
  <c r="I47" i="3" s="1"/>
  <c r="H46" i="3"/>
  <c r="I46" i="3" s="1"/>
  <c r="H45" i="3"/>
  <c r="I45" i="3" s="1"/>
  <c r="H44" i="3"/>
  <c r="I44" i="3" s="1"/>
  <c r="H43" i="3"/>
  <c r="I43" i="3" s="1"/>
  <c r="H42" i="3"/>
  <c r="I42" i="3" s="1"/>
  <c r="H41" i="3"/>
  <c r="I41" i="3" s="1"/>
  <c r="H40" i="3"/>
  <c r="I40" i="3" s="1"/>
  <c r="H39" i="3"/>
  <c r="I39" i="3" s="1"/>
  <c r="H38" i="3"/>
  <c r="I38" i="3" s="1"/>
  <c r="H37" i="3"/>
  <c r="I37" i="3" s="1"/>
  <c r="H36" i="3"/>
  <c r="I36" i="3" s="1"/>
  <c r="H35" i="3"/>
  <c r="I35" i="3" s="1"/>
  <c r="H34" i="3"/>
  <c r="I34" i="3" s="1"/>
  <c r="H33" i="3"/>
  <c r="I33" i="3" s="1"/>
  <c r="H32" i="3"/>
  <c r="I32" i="3" s="1"/>
  <c r="H31" i="3"/>
  <c r="I31" i="3" s="1"/>
  <c r="H30" i="3"/>
  <c r="I30" i="3" s="1"/>
  <c r="H29" i="3"/>
  <c r="I29" i="3" s="1"/>
  <c r="H28" i="3"/>
  <c r="I28" i="3" s="1"/>
  <c r="H27" i="3"/>
  <c r="I27" i="3" s="1"/>
  <c r="H26" i="3"/>
  <c r="I26" i="3" s="1"/>
  <c r="H25" i="3"/>
  <c r="I25" i="3" s="1"/>
  <c r="H24" i="3"/>
  <c r="I24" i="3" s="1"/>
  <c r="H23" i="3"/>
  <c r="I23" i="3" s="1"/>
  <c r="H22" i="3"/>
  <c r="I22" i="3" s="1"/>
  <c r="H21" i="3"/>
  <c r="I21" i="3" s="1"/>
  <c r="H20" i="3"/>
  <c r="I20" i="3" s="1"/>
  <c r="H19" i="3"/>
  <c r="I19" i="3" s="1"/>
  <c r="H18" i="3"/>
  <c r="I18" i="3" s="1"/>
  <c r="H17" i="3"/>
  <c r="I17" i="3" s="1"/>
  <c r="E37" i="7" l="1"/>
  <c r="C9" i="4"/>
  <c r="C11" i="4" s="1"/>
  <c r="D11" i="4" s="1"/>
  <c r="F37" i="7"/>
  <c r="F6" i="5"/>
  <c r="Q113" i="3"/>
  <c r="R113" i="3" s="1"/>
  <c r="Q109" i="3"/>
  <c r="R109" i="3" s="1"/>
  <c r="Q104" i="3"/>
  <c r="R104" i="3" s="1"/>
  <c r="Q115" i="3"/>
  <c r="R115" i="3" s="1"/>
  <c r="Q73" i="3"/>
  <c r="R73" i="3" s="1"/>
  <c r="Q77" i="3"/>
  <c r="R77" i="3" s="1"/>
  <c r="Q86" i="3"/>
  <c r="R86" i="3" s="1"/>
  <c r="Q89" i="3"/>
  <c r="R89" i="3" s="1"/>
  <c r="Q106" i="3"/>
  <c r="R106" i="3" s="1"/>
  <c r="Q110" i="3"/>
  <c r="R110" i="3" s="1"/>
  <c r="Q17" i="3"/>
  <c r="D9" i="2" l="1"/>
  <c r="Q103" i="2"/>
  <c r="R103" i="2" s="1"/>
  <c r="O102" i="2"/>
  <c r="Q102" i="2" s="1"/>
  <c r="R102" i="2" s="1"/>
  <c r="O101" i="2"/>
  <c r="Q101" i="2" s="1"/>
  <c r="R101" i="2" s="1"/>
  <c r="Q100" i="2"/>
  <c r="R100" i="2" s="1"/>
  <c r="O99" i="2"/>
  <c r="Q99" i="2" s="1"/>
  <c r="R99" i="2" s="1"/>
  <c r="O98" i="2"/>
  <c r="Q98" i="2" s="1"/>
  <c r="R98" i="2" s="1"/>
  <c r="R97" i="2"/>
  <c r="Q97" i="2"/>
  <c r="Q96" i="2"/>
  <c r="R96" i="2" s="1"/>
  <c r="Q95" i="2"/>
  <c r="R95" i="2" s="1"/>
  <c r="R94" i="2"/>
  <c r="Q94" i="2"/>
  <c r="Q93" i="2"/>
  <c r="R93" i="2" s="1"/>
  <c r="Q92" i="2"/>
  <c r="R92" i="2" s="1"/>
  <c r="R91" i="2"/>
  <c r="Q91" i="2"/>
  <c r="Q90" i="2"/>
  <c r="R90" i="2" s="1"/>
  <c r="Q89" i="2"/>
  <c r="R89" i="2" s="1"/>
  <c r="R88" i="2"/>
  <c r="Q88" i="2"/>
  <c r="O87" i="2"/>
  <c r="Q87" i="2" s="1"/>
  <c r="R87" i="2" s="1"/>
  <c r="Q86" i="2"/>
  <c r="R86" i="2" s="1"/>
  <c r="O86" i="2"/>
  <c r="Q85" i="2"/>
  <c r="R85" i="2" s="1"/>
  <c r="O84" i="2"/>
  <c r="Q84" i="2" s="1"/>
  <c r="R84" i="2" s="1"/>
  <c r="O83" i="2"/>
  <c r="Q83" i="2" s="1"/>
  <c r="R83" i="2" s="1"/>
  <c r="Q82" i="2"/>
  <c r="R82" i="2" s="1"/>
  <c r="R80" i="2"/>
  <c r="Q80" i="2"/>
  <c r="O79" i="2"/>
  <c r="Q79" i="2" s="1"/>
  <c r="R79" i="2" s="1"/>
  <c r="Q78" i="2"/>
  <c r="R78" i="2" s="1"/>
  <c r="O77" i="2"/>
  <c r="Q77" i="2" s="1"/>
  <c r="R77" i="2" s="1"/>
  <c r="Q76" i="2"/>
  <c r="R76" i="2" s="1"/>
  <c r="R74" i="2"/>
  <c r="Q74" i="2"/>
  <c r="O73" i="2"/>
  <c r="Q73" i="2" s="1"/>
  <c r="R73" i="2" s="1"/>
  <c r="Q72" i="2"/>
  <c r="R72" i="2" s="1"/>
  <c r="O71" i="2"/>
  <c r="Q71" i="2" s="1"/>
  <c r="R71" i="2" s="1"/>
  <c r="Q70" i="2"/>
  <c r="R70" i="2" s="1"/>
  <c r="I95" i="2"/>
  <c r="I94" i="2"/>
  <c r="H94" i="2"/>
  <c r="H93" i="2"/>
  <c r="I93" i="2" s="1"/>
  <c r="H92" i="2"/>
  <c r="I92" i="2" s="1"/>
  <c r="I91" i="2"/>
  <c r="I89" i="2"/>
  <c r="H88" i="2"/>
  <c r="I88" i="2" s="1"/>
  <c r="H87" i="2"/>
  <c r="I87" i="2" s="1"/>
  <c r="I86" i="2"/>
  <c r="H86" i="2"/>
  <c r="I85" i="2"/>
  <c r="I82" i="2"/>
  <c r="H81" i="2"/>
  <c r="I81" i="2" s="1"/>
  <c r="I80" i="2"/>
  <c r="H80" i="2"/>
  <c r="H79" i="2"/>
  <c r="I79" i="2" s="1"/>
  <c r="H78" i="2"/>
  <c r="I78" i="2" s="1"/>
  <c r="I77" i="2"/>
  <c r="I75" i="2"/>
  <c r="H74" i="2"/>
  <c r="I74" i="2" s="1"/>
  <c r="H73" i="2"/>
  <c r="I73" i="2" s="1"/>
  <c r="I72" i="2"/>
  <c r="H72" i="2"/>
  <c r="H71" i="2"/>
  <c r="I71" i="2" s="1"/>
  <c r="I70" i="2"/>
  <c r="Q62" i="2"/>
  <c r="R62" i="2" s="1"/>
  <c r="Q61" i="2"/>
  <c r="R61" i="2" s="1"/>
  <c r="Q60" i="2"/>
  <c r="R60" i="2" s="1"/>
  <c r="Q59" i="2"/>
  <c r="R59" i="2" s="1"/>
  <c r="Q58" i="2"/>
  <c r="R58" i="2" s="1"/>
  <c r="Q57" i="2"/>
  <c r="R57" i="2" s="1"/>
  <c r="Q56" i="2"/>
  <c r="R56" i="2" s="1"/>
  <c r="Q55" i="2"/>
  <c r="R55" i="2" s="1"/>
  <c r="Q54" i="2"/>
  <c r="R54" i="2" s="1"/>
  <c r="Q53" i="2"/>
  <c r="R53" i="2" s="1"/>
  <c r="Q52" i="2"/>
  <c r="R52" i="2" s="1"/>
  <c r="Q51" i="2"/>
  <c r="R51" i="2" s="1"/>
  <c r="Q50" i="2"/>
  <c r="R50" i="2" s="1"/>
  <c r="Q49" i="2"/>
  <c r="R49" i="2" s="1"/>
  <c r="Q48" i="2"/>
  <c r="R48" i="2" s="1"/>
  <c r="Q47" i="2"/>
  <c r="R47" i="2" s="1"/>
  <c r="Q46" i="2"/>
  <c r="R46" i="2" s="1"/>
  <c r="Q45" i="2"/>
  <c r="R45" i="2" s="1"/>
  <c r="Q44" i="2"/>
  <c r="R44" i="2" s="1"/>
  <c r="Q43" i="2"/>
  <c r="R43" i="2" s="1"/>
  <c r="Q42" i="2"/>
  <c r="R42" i="2" s="1"/>
  <c r="Q41" i="2"/>
  <c r="R41" i="2" s="1"/>
  <c r="Q40" i="2"/>
  <c r="R40" i="2" s="1"/>
  <c r="Q39" i="2"/>
  <c r="R39" i="2" s="1"/>
  <c r="Q38" i="2"/>
  <c r="R38" i="2" s="1"/>
  <c r="Q37" i="2"/>
  <c r="R37" i="2" s="1"/>
  <c r="Q36" i="2"/>
  <c r="R36" i="2" s="1"/>
  <c r="Q35" i="2"/>
  <c r="R35" i="2" s="1"/>
  <c r="Q34" i="2"/>
  <c r="R34" i="2" s="1"/>
  <c r="Q33" i="2"/>
  <c r="R33" i="2" s="1"/>
  <c r="Q32" i="2"/>
  <c r="R32" i="2" s="1"/>
  <c r="Q31" i="2"/>
  <c r="R31" i="2" s="1"/>
  <c r="Q30" i="2"/>
  <c r="R30" i="2" s="1"/>
  <c r="Q29" i="2"/>
  <c r="R29" i="2" s="1"/>
  <c r="Q28" i="2"/>
  <c r="R28" i="2" s="1"/>
  <c r="Q27" i="2"/>
  <c r="R27" i="2" s="1"/>
  <c r="Q26" i="2"/>
  <c r="R26" i="2" s="1"/>
  <c r="Q25" i="2"/>
  <c r="R25" i="2" s="1"/>
  <c r="Q24" i="2"/>
  <c r="R24" i="2" s="1"/>
  <c r="H57" i="2"/>
  <c r="I57" i="2" s="1"/>
  <c r="H56" i="2"/>
  <c r="I56" i="2" s="1"/>
  <c r="H55" i="2"/>
  <c r="I55" i="2" s="1"/>
  <c r="H54" i="2"/>
  <c r="I54" i="2" s="1"/>
  <c r="H53" i="2"/>
  <c r="I53" i="2" s="1"/>
  <c r="H52" i="2"/>
  <c r="I52" i="2" s="1"/>
  <c r="H51" i="2"/>
  <c r="I51" i="2" s="1"/>
  <c r="H50" i="2"/>
  <c r="I50" i="2" s="1"/>
  <c r="H49" i="2"/>
  <c r="I49" i="2" s="1"/>
  <c r="H48" i="2"/>
  <c r="I48" i="2" s="1"/>
  <c r="H47" i="2"/>
  <c r="I47" i="2" s="1"/>
  <c r="H46" i="2"/>
  <c r="I46" i="2" s="1"/>
  <c r="H45" i="2"/>
  <c r="I45" i="2" s="1"/>
  <c r="H44" i="2"/>
  <c r="I44" i="2" s="1"/>
  <c r="H43" i="2"/>
  <c r="I43" i="2" s="1"/>
  <c r="H42" i="2"/>
  <c r="I42" i="2" s="1"/>
  <c r="H41" i="2"/>
  <c r="I41" i="2" s="1"/>
  <c r="H40" i="2"/>
  <c r="I40" i="2" s="1"/>
  <c r="H39" i="2"/>
  <c r="I39" i="2" s="1"/>
  <c r="H38" i="2"/>
  <c r="I38" i="2" s="1"/>
  <c r="H37" i="2"/>
  <c r="I37" i="2" s="1"/>
  <c r="H36" i="2"/>
  <c r="I36" i="2" s="1"/>
  <c r="H35" i="2"/>
  <c r="I35" i="2" s="1"/>
  <c r="H34" i="2"/>
  <c r="I34" i="2" s="1"/>
  <c r="H33" i="2"/>
  <c r="I33" i="2" s="1"/>
  <c r="H32" i="2"/>
  <c r="I32" i="2" s="1"/>
  <c r="H31" i="2"/>
  <c r="I31" i="2" s="1"/>
  <c r="H30" i="2"/>
  <c r="I30" i="2" s="1"/>
  <c r="H29" i="2"/>
  <c r="I29" i="2" s="1"/>
  <c r="H28" i="2"/>
  <c r="I28" i="2" s="1"/>
  <c r="H27" i="2"/>
  <c r="I27" i="2" s="1"/>
  <c r="H26" i="2"/>
  <c r="I26" i="2" s="1"/>
  <c r="H25" i="2"/>
  <c r="I25" i="2" s="1"/>
  <c r="H24" i="2"/>
  <c r="I24" i="2" s="1"/>
  <c r="H20" i="2"/>
  <c r="G20" i="2"/>
  <c r="G19" i="2"/>
  <c r="H19" i="2" s="1"/>
  <c r="G18" i="2"/>
  <c r="H18" i="2" s="1"/>
  <c r="H17" i="2"/>
  <c r="G17" i="2"/>
  <c r="Q133" i="1" l="1"/>
  <c r="R133" i="1" s="1"/>
  <c r="O132" i="1"/>
  <c r="Q132" i="1" s="1"/>
  <c r="R132" i="1" s="1"/>
  <c r="O131" i="1"/>
  <c r="Q131" i="1" s="1"/>
  <c r="R131" i="1" s="1"/>
  <c r="Q130" i="1"/>
  <c r="R130" i="1" s="1"/>
  <c r="O129" i="1"/>
  <c r="Q129" i="1" s="1"/>
  <c r="R129" i="1" s="1"/>
  <c r="O128" i="1"/>
  <c r="Q128" i="1" s="1"/>
  <c r="R128" i="1" s="1"/>
  <c r="Q127" i="1"/>
  <c r="R127" i="1" s="1"/>
  <c r="Q125" i="1"/>
  <c r="R125" i="1" s="1"/>
  <c r="Q124" i="1"/>
  <c r="R124" i="1" s="1"/>
  <c r="Q123" i="1"/>
  <c r="R123" i="1" s="1"/>
  <c r="Q121" i="1"/>
  <c r="R121" i="1" s="1"/>
  <c r="Q120" i="1"/>
  <c r="R120" i="1" s="1"/>
  <c r="Q119" i="1"/>
  <c r="R119" i="1" s="1"/>
  <c r="Q117" i="1"/>
  <c r="R117" i="1" s="1"/>
  <c r="O116" i="1"/>
  <c r="Q116" i="1" s="1"/>
  <c r="R116" i="1" s="1"/>
  <c r="O115" i="1"/>
  <c r="Q115" i="1" s="1"/>
  <c r="R115" i="1" s="1"/>
  <c r="Q114" i="1"/>
  <c r="R114" i="1" s="1"/>
  <c r="O113" i="1"/>
  <c r="Q113" i="1" s="1"/>
  <c r="R113" i="1" s="1"/>
  <c r="O112" i="1"/>
  <c r="Q112" i="1" s="1"/>
  <c r="R112" i="1" s="1"/>
  <c r="Q111" i="1"/>
  <c r="R111" i="1" s="1"/>
  <c r="Q108" i="1"/>
  <c r="R108" i="1" s="1"/>
  <c r="O107" i="1"/>
  <c r="Q107" i="1" s="1"/>
  <c r="R107" i="1" s="1"/>
  <c r="Q106" i="1"/>
  <c r="R106" i="1" s="1"/>
  <c r="O105" i="1"/>
  <c r="Q105" i="1" s="1"/>
  <c r="R105" i="1" s="1"/>
  <c r="O104" i="1"/>
  <c r="Q104" i="1" s="1"/>
  <c r="R104" i="1" s="1"/>
  <c r="Q103" i="1"/>
  <c r="R103" i="1" s="1"/>
  <c r="O102" i="1"/>
  <c r="Q102" i="1" s="1"/>
  <c r="R102" i="1" s="1"/>
  <c r="Q101" i="1"/>
  <c r="R101" i="1" s="1"/>
  <c r="Q99" i="1"/>
  <c r="R99" i="1" s="1"/>
  <c r="O98" i="1"/>
  <c r="Q98" i="1" s="1"/>
  <c r="R98" i="1" s="1"/>
  <c r="Q97" i="1"/>
  <c r="R97" i="1" s="1"/>
  <c r="O96" i="1"/>
  <c r="Q96" i="1" s="1"/>
  <c r="R96" i="1" s="1"/>
  <c r="O95" i="1"/>
  <c r="Q95" i="1" s="1"/>
  <c r="R95" i="1" s="1"/>
  <c r="Q94" i="1"/>
  <c r="R94" i="1" s="1"/>
  <c r="O93" i="1"/>
  <c r="Q93" i="1" s="1"/>
  <c r="R93" i="1" s="1"/>
  <c r="Q92" i="1"/>
  <c r="R92" i="1" s="1"/>
  <c r="H133" i="1"/>
  <c r="I133" i="1" s="1"/>
  <c r="H132" i="1"/>
  <c r="I132" i="1" s="1"/>
  <c r="H131" i="1"/>
  <c r="I131" i="1" s="1"/>
  <c r="I129" i="1"/>
  <c r="H128" i="1"/>
  <c r="I128" i="1" s="1"/>
  <c r="H127" i="1"/>
  <c r="I127" i="1" s="1"/>
  <c r="H126" i="1"/>
  <c r="I126" i="1" s="1"/>
  <c r="I125" i="1"/>
  <c r="H123" i="1"/>
  <c r="I123" i="1" s="1"/>
  <c r="H122" i="1"/>
  <c r="I122" i="1" s="1"/>
  <c r="H121" i="1"/>
  <c r="I121" i="1" s="1"/>
  <c r="I119" i="1"/>
  <c r="H118" i="1"/>
  <c r="I118" i="1" s="1"/>
  <c r="H117" i="1"/>
  <c r="I117" i="1" s="1"/>
  <c r="H116" i="1"/>
  <c r="I116" i="1" s="1"/>
  <c r="I115" i="1"/>
  <c r="H111" i="1"/>
  <c r="I111" i="1" s="1"/>
  <c r="H110" i="1"/>
  <c r="I110" i="1" s="1"/>
  <c r="I108" i="1"/>
  <c r="H107" i="1"/>
  <c r="I107" i="1" s="1"/>
  <c r="H106" i="1"/>
  <c r="I106" i="1" s="1"/>
  <c r="H105" i="1"/>
  <c r="I105" i="1" s="1"/>
  <c r="H104" i="1"/>
  <c r="I104" i="1" s="1"/>
  <c r="I103" i="1"/>
  <c r="H101" i="1"/>
  <c r="I101" i="1" s="1"/>
  <c r="H100" i="1"/>
  <c r="I100" i="1" s="1"/>
  <c r="H99" i="1"/>
  <c r="I99" i="1" s="1"/>
  <c r="I97" i="1"/>
  <c r="H96" i="1"/>
  <c r="I96" i="1" s="1"/>
  <c r="H95" i="1"/>
  <c r="I95" i="1" s="1"/>
  <c r="H94" i="1"/>
  <c r="I94" i="1" s="1"/>
  <c r="H93" i="1"/>
  <c r="I93" i="1" s="1"/>
  <c r="I92" i="1"/>
  <c r="Q84" i="1"/>
  <c r="R84" i="1" s="1"/>
  <c r="Q83" i="1"/>
  <c r="R83" i="1" s="1"/>
  <c r="Q82" i="1"/>
  <c r="R82" i="1" s="1"/>
  <c r="Q81" i="1"/>
  <c r="R81" i="1" s="1"/>
  <c r="Q80" i="1"/>
  <c r="R80" i="1" s="1"/>
  <c r="Q79" i="1"/>
  <c r="R79" i="1" s="1"/>
  <c r="Q78" i="1"/>
  <c r="R78" i="1" s="1"/>
  <c r="Q77" i="1"/>
  <c r="R77" i="1" s="1"/>
  <c r="Q76" i="1"/>
  <c r="R76" i="1" s="1"/>
  <c r="Q75" i="1"/>
  <c r="R75" i="1" s="1"/>
  <c r="Q74" i="1"/>
  <c r="R74" i="1" s="1"/>
  <c r="Q73" i="1"/>
  <c r="R73" i="1" s="1"/>
  <c r="Q72" i="1"/>
  <c r="R72" i="1" s="1"/>
  <c r="Q71" i="1"/>
  <c r="R71" i="1" s="1"/>
  <c r="Q70" i="1"/>
  <c r="R70" i="1" s="1"/>
  <c r="Q69" i="1"/>
  <c r="R69" i="1" s="1"/>
  <c r="Q68" i="1"/>
  <c r="R68" i="1" s="1"/>
  <c r="Q67" i="1"/>
  <c r="R67" i="1" s="1"/>
  <c r="Q66" i="1"/>
  <c r="R66" i="1" s="1"/>
  <c r="Q65" i="1"/>
  <c r="R65" i="1" s="1"/>
  <c r="Q64" i="1"/>
  <c r="R64" i="1" s="1"/>
  <c r="Q63" i="1"/>
  <c r="R63" i="1" s="1"/>
  <c r="Q62" i="1"/>
  <c r="R62" i="1" s="1"/>
  <c r="Q61" i="1"/>
  <c r="R61" i="1" s="1"/>
  <c r="Q60" i="1"/>
  <c r="R60" i="1" s="1"/>
  <c r="Q59" i="1"/>
  <c r="R59" i="1" s="1"/>
  <c r="Q58" i="1"/>
  <c r="R58" i="1" s="1"/>
  <c r="Q57" i="1"/>
  <c r="R57" i="1" s="1"/>
  <c r="Q56" i="1"/>
  <c r="R56" i="1" s="1"/>
  <c r="Q55" i="1"/>
  <c r="R55" i="1" s="1"/>
  <c r="Q52" i="1"/>
  <c r="R52" i="1" s="1"/>
  <c r="Q51" i="1"/>
  <c r="R51" i="1" s="1"/>
  <c r="Q50" i="1"/>
  <c r="R50" i="1" s="1"/>
  <c r="Q49" i="1"/>
  <c r="R49" i="1" s="1"/>
  <c r="Q48" i="1"/>
  <c r="R48" i="1" s="1"/>
  <c r="Q47" i="1"/>
  <c r="R47" i="1" s="1"/>
  <c r="Q46" i="1"/>
  <c r="R46" i="1" s="1"/>
  <c r="Q45" i="1"/>
  <c r="R45" i="1" s="1"/>
  <c r="Q44" i="1"/>
  <c r="R44" i="1" s="1"/>
  <c r="Q43" i="1"/>
  <c r="R43" i="1" s="1"/>
  <c r="Q42" i="1"/>
  <c r="R42" i="1" s="1"/>
  <c r="Q41" i="1"/>
  <c r="R41" i="1" s="1"/>
  <c r="Q40" i="1"/>
  <c r="R40" i="1" s="1"/>
  <c r="Q39" i="1"/>
  <c r="R39" i="1" s="1"/>
  <c r="Q38" i="1"/>
  <c r="R38" i="1" s="1"/>
  <c r="Q37" i="1"/>
  <c r="R37" i="1" s="1"/>
  <c r="Q36" i="1"/>
  <c r="R36" i="1" s="1"/>
  <c r="Q35" i="1"/>
  <c r="R35" i="1" s="1"/>
  <c r="Q34" i="1"/>
  <c r="R34" i="1" s="1"/>
  <c r="Q33" i="1"/>
  <c r="R33" i="1" s="1"/>
  <c r="Q32" i="1"/>
  <c r="R32" i="1" s="1"/>
  <c r="Q31" i="1"/>
  <c r="R31" i="1" s="1"/>
  <c r="Q30" i="1"/>
  <c r="R30" i="1" s="1"/>
  <c r="Q29" i="1"/>
  <c r="R29" i="1" s="1"/>
  <c r="Q28" i="1"/>
  <c r="R28" i="1" s="1"/>
  <c r="Q27" i="1"/>
  <c r="R27" i="1" s="1"/>
  <c r="H65" i="1"/>
  <c r="I65" i="1" s="1"/>
  <c r="H64" i="1"/>
  <c r="I64" i="1" s="1"/>
  <c r="H63" i="1"/>
  <c r="I63" i="1" s="1"/>
  <c r="H62" i="1"/>
  <c r="I62" i="1" s="1"/>
  <c r="H61" i="1"/>
  <c r="I61" i="1" s="1"/>
  <c r="H60" i="1"/>
  <c r="I60" i="1" s="1"/>
  <c r="H59" i="1"/>
  <c r="I59" i="1" s="1"/>
  <c r="H58" i="1"/>
  <c r="I58" i="1" s="1"/>
  <c r="H57" i="1"/>
  <c r="I57" i="1" s="1"/>
  <c r="H56" i="1"/>
  <c r="I56" i="1" s="1"/>
  <c r="H55" i="1"/>
  <c r="I55" i="1" s="1"/>
  <c r="H54" i="1"/>
  <c r="I54" i="1" s="1"/>
  <c r="H53" i="1"/>
  <c r="I53" i="1" s="1"/>
  <c r="H52" i="1"/>
  <c r="I52" i="1" s="1"/>
  <c r="H51" i="1"/>
  <c r="I51" i="1" s="1"/>
  <c r="H50" i="1"/>
  <c r="I50" i="1" s="1"/>
  <c r="H49" i="1"/>
  <c r="I49" i="1" s="1"/>
  <c r="H48" i="1"/>
  <c r="I48" i="1" s="1"/>
  <c r="H47" i="1"/>
  <c r="I47" i="1" s="1"/>
  <c r="H46" i="1"/>
  <c r="I46" i="1" s="1"/>
  <c r="H45" i="1"/>
  <c r="I45" i="1" s="1"/>
  <c r="H44" i="1"/>
  <c r="I44" i="1" s="1"/>
  <c r="H43" i="1"/>
  <c r="I43" i="1" s="1"/>
  <c r="H42" i="1"/>
  <c r="I42" i="1" s="1"/>
  <c r="H41" i="1"/>
  <c r="I41" i="1" s="1"/>
  <c r="H40" i="1"/>
  <c r="I40" i="1" s="1"/>
  <c r="H39" i="1"/>
  <c r="I39" i="1" s="1"/>
  <c r="H38" i="1"/>
  <c r="I38" i="1" s="1"/>
  <c r="H37" i="1"/>
  <c r="I37" i="1" s="1"/>
  <c r="H36" i="1"/>
  <c r="I36" i="1" s="1"/>
  <c r="H35" i="1"/>
  <c r="I35" i="1" s="1"/>
  <c r="H34" i="1"/>
  <c r="I34" i="1" s="1"/>
  <c r="H33" i="1"/>
  <c r="I33" i="1" s="1"/>
  <c r="H32" i="1"/>
  <c r="I32" i="1" s="1"/>
  <c r="H31" i="1"/>
  <c r="I31" i="1" s="1"/>
  <c r="H30" i="1"/>
  <c r="I30" i="1" s="1"/>
  <c r="H29" i="1"/>
  <c r="I29" i="1" s="1"/>
  <c r="H28" i="1"/>
  <c r="I28" i="1" s="1"/>
  <c r="H27" i="1"/>
  <c r="I27" i="1" s="1"/>
  <c r="H26" i="1"/>
  <c r="I26" i="1" s="1"/>
  <c r="Q20" i="1"/>
  <c r="P19" i="1"/>
  <c r="Q19" i="1" s="1"/>
  <c r="Q18" i="1"/>
  <c r="P17" i="1"/>
  <c r="Q17" i="1" s="1"/>
  <c r="G22" i="1"/>
  <c r="H22" i="1" s="1"/>
  <c r="G21" i="1"/>
  <c r="H21" i="1" s="1"/>
  <c r="G20" i="1"/>
  <c r="H20" i="1" s="1"/>
  <c r="G19" i="1"/>
  <c r="H19" i="1" s="1"/>
  <c r="G18" i="1"/>
  <c r="H18" i="1" s="1"/>
  <c r="G17" i="1"/>
  <c r="H17" i="1" s="1"/>
</calcChain>
</file>

<file path=xl/sharedStrings.xml><?xml version="1.0" encoding="utf-8"?>
<sst xmlns="http://schemas.openxmlformats.org/spreadsheetml/2006/main" count="783" uniqueCount="338">
  <si>
    <t>CALHA</t>
  </si>
  <si>
    <t>a [cm]</t>
  </si>
  <si>
    <t>b [cm]</t>
  </si>
  <si>
    <t>c [cm]</t>
  </si>
  <si>
    <t>C [m]</t>
  </si>
  <si>
    <t>P [m]</t>
  </si>
  <si>
    <t>A [m²]</t>
  </si>
  <si>
    <t>VIGAS INVERTIDAS DO MEZANINO</t>
  </si>
  <si>
    <t>1 (face)</t>
  </si>
  <si>
    <t>2 (face)</t>
  </si>
  <si>
    <t>PILAR</t>
  </si>
  <si>
    <t>d [cm]</t>
  </si>
  <si>
    <t>h [m]</t>
  </si>
  <si>
    <t>1N</t>
  </si>
  <si>
    <t>1S</t>
  </si>
  <si>
    <t>2N</t>
  </si>
  <si>
    <t>2S</t>
  </si>
  <si>
    <t>3N</t>
  </si>
  <si>
    <t>3S</t>
  </si>
  <si>
    <t>4N</t>
  </si>
  <si>
    <t>4S</t>
  </si>
  <si>
    <t>5N</t>
  </si>
  <si>
    <t>5S</t>
  </si>
  <si>
    <t>6N</t>
  </si>
  <si>
    <t>6S</t>
  </si>
  <si>
    <t>7N</t>
  </si>
  <si>
    <t>7O</t>
  </si>
  <si>
    <t>7S</t>
  </si>
  <si>
    <t>8N</t>
  </si>
  <si>
    <t>8S-a</t>
  </si>
  <si>
    <t>8S-b</t>
  </si>
  <si>
    <t>9S</t>
  </si>
  <si>
    <t>9N</t>
  </si>
  <si>
    <t>10S</t>
  </si>
  <si>
    <t>10N</t>
  </si>
  <si>
    <t>11S-a</t>
  </si>
  <si>
    <t>11S-b</t>
  </si>
  <si>
    <t>11N</t>
  </si>
  <si>
    <t>12S</t>
  </si>
  <si>
    <t>12E</t>
  </si>
  <si>
    <t>12N</t>
  </si>
  <si>
    <t>13S</t>
  </si>
  <si>
    <t>13N</t>
  </si>
  <si>
    <t>14S</t>
  </si>
  <si>
    <t>14N</t>
  </si>
  <si>
    <t>15S</t>
  </si>
  <si>
    <t>15N</t>
  </si>
  <si>
    <t>16S</t>
  </si>
  <si>
    <t>16N</t>
  </si>
  <si>
    <t>17S</t>
  </si>
  <si>
    <t>17N</t>
  </si>
  <si>
    <t>18S</t>
  </si>
  <si>
    <t>18N</t>
  </si>
  <si>
    <t>NORTE</t>
  </si>
  <si>
    <t>2-a</t>
  </si>
  <si>
    <t>2-b</t>
  </si>
  <si>
    <t>3-a</t>
  </si>
  <si>
    <t>3-b</t>
  </si>
  <si>
    <t>8-a</t>
  </si>
  <si>
    <t>8-b</t>
  </si>
  <si>
    <t>11-a</t>
  </si>
  <si>
    <t>11-b</t>
  </si>
  <si>
    <t>13-a</t>
  </si>
  <si>
    <t>13-b</t>
  </si>
  <si>
    <t>14-a</t>
  </si>
  <si>
    <t>14-b</t>
  </si>
  <si>
    <t>16-a</t>
  </si>
  <si>
    <t>16-b</t>
  </si>
  <si>
    <t>17-a</t>
  </si>
  <si>
    <t>17-b</t>
  </si>
  <si>
    <t>SUL</t>
  </si>
  <si>
    <t>2a</t>
  </si>
  <si>
    <t>2b</t>
  </si>
  <si>
    <t>6a</t>
  </si>
  <si>
    <t>6b</t>
  </si>
  <si>
    <t>8a</t>
  </si>
  <si>
    <t>8b</t>
  </si>
  <si>
    <t>9a</t>
  </si>
  <si>
    <t>9b</t>
  </si>
  <si>
    <t>9c</t>
  </si>
  <si>
    <t>9d</t>
  </si>
  <si>
    <t>10a</t>
  </si>
  <si>
    <t>10b</t>
  </si>
  <si>
    <t>10c</t>
  </si>
  <si>
    <t>10d</t>
  </si>
  <si>
    <t>11a</t>
  </si>
  <si>
    <t>11b</t>
  </si>
  <si>
    <t>SENTIDO LONGITUDINAL</t>
  </si>
  <si>
    <t>VIGAS</t>
  </si>
  <si>
    <t>Térreo</t>
  </si>
  <si>
    <t>Sa (face)</t>
  </si>
  <si>
    <t>Sa</t>
  </si>
  <si>
    <t>Sb</t>
  </si>
  <si>
    <t>Sc</t>
  </si>
  <si>
    <t>Sd</t>
  </si>
  <si>
    <t>Sd (face)</t>
  </si>
  <si>
    <t>Se</t>
  </si>
  <si>
    <t>Sf</t>
  </si>
  <si>
    <t>Sg</t>
  </si>
  <si>
    <t>Na (face)</t>
  </si>
  <si>
    <t>Na</t>
  </si>
  <si>
    <t>Nb</t>
  </si>
  <si>
    <t>Nc</t>
  </si>
  <si>
    <t>Nd</t>
  </si>
  <si>
    <t>Nd (face)</t>
  </si>
  <si>
    <t>Ne</t>
  </si>
  <si>
    <t>Nf</t>
  </si>
  <si>
    <t>Mezanino</t>
  </si>
  <si>
    <t>Sc (face)</t>
  </si>
  <si>
    <t>Nc (face)</t>
  </si>
  <si>
    <t>Ng</t>
  </si>
  <si>
    <t>SENTIDO TRANSVERSAL</t>
  </si>
  <si>
    <t>8c</t>
  </si>
  <si>
    <t>8d</t>
  </si>
  <si>
    <t>8e</t>
  </si>
  <si>
    <t>8f</t>
  </si>
  <si>
    <t>8g</t>
  </si>
  <si>
    <t>8h</t>
  </si>
  <si>
    <t>11c</t>
  </si>
  <si>
    <t>11d</t>
  </si>
  <si>
    <t>11e</t>
  </si>
  <si>
    <t>11f</t>
  </si>
  <si>
    <t>11g</t>
  </si>
  <si>
    <t>11h</t>
  </si>
  <si>
    <t>1a</t>
  </si>
  <si>
    <t>1b</t>
  </si>
  <si>
    <t>1c</t>
  </si>
  <si>
    <t>1d</t>
  </si>
  <si>
    <t>1e</t>
  </si>
  <si>
    <t>1f</t>
  </si>
  <si>
    <t>1g</t>
  </si>
  <si>
    <t>17a</t>
  </si>
  <si>
    <t>17b</t>
  </si>
  <si>
    <t>17c</t>
  </si>
  <si>
    <t>17d</t>
  </si>
  <si>
    <t>17e</t>
  </si>
  <si>
    <t>17f</t>
  </si>
  <si>
    <t>17g</t>
  </si>
  <si>
    <t>ELEMENTO</t>
  </si>
  <si>
    <t>PILARES</t>
  </si>
  <si>
    <t>CALHAS</t>
  </si>
  <si>
    <t>TOTAL</t>
  </si>
  <si>
    <t>&lt; CALCULOS ARITMÉTICOS</t>
  </si>
  <si>
    <t>TABELADO</t>
  </si>
  <si>
    <t>&lt; PARAMETRIZAÇÃO DO REVIT</t>
  </si>
  <si>
    <t>DIFERENÇA</t>
  </si>
  <si>
    <t>&lt; PARAMETRIZADOS 0,08% A MAIS (ACEITÁVEL)</t>
  </si>
  <si>
    <t>BLOCO 1</t>
  </si>
  <si>
    <t>Cálculos aritméticos</t>
  </si>
  <si>
    <t>Valor considerado no orçamento: 447,45 m²</t>
  </si>
  <si>
    <t>BLOCO 2</t>
  </si>
  <si>
    <t>8S</t>
  </si>
  <si>
    <t>11S</t>
  </si>
  <si>
    <t>3S-a</t>
  </si>
  <si>
    <t>3S-b</t>
  </si>
  <si>
    <t>5S-a</t>
  </si>
  <si>
    <t>5S-b</t>
  </si>
  <si>
    <t>14S-a</t>
  </si>
  <si>
    <t>14S-b</t>
  </si>
  <si>
    <t>16N-a</t>
  </si>
  <si>
    <t>16N-b</t>
  </si>
  <si>
    <t>16S-a</t>
  </si>
  <si>
    <t>16S-b</t>
  </si>
  <si>
    <t>8a-I</t>
  </si>
  <si>
    <t>8a-II</t>
  </si>
  <si>
    <t>8c-I</t>
  </si>
  <si>
    <t>8c-II</t>
  </si>
  <si>
    <t>11a-I</t>
  </si>
  <si>
    <t>11a-II</t>
  </si>
  <si>
    <t>11c-I</t>
  </si>
  <si>
    <t>11c-II</t>
  </si>
  <si>
    <t>&lt; PARAMETRIZADOS 0,02% A MAIS (ACEITÁVEL)</t>
  </si>
  <si>
    <t>Valor considerado no orçamento: 384,68 m²</t>
  </si>
  <si>
    <t>BLOCO 3</t>
  </si>
  <si>
    <t>Sg (face)</t>
  </si>
  <si>
    <t>2c</t>
  </si>
  <si>
    <t>3a</t>
  </si>
  <si>
    <t>3b</t>
  </si>
  <si>
    <t>3c</t>
  </si>
  <si>
    <t>4a</t>
  </si>
  <si>
    <t>4b</t>
  </si>
  <si>
    <t>4c</t>
  </si>
  <si>
    <t>5a</t>
  </si>
  <si>
    <t>5b</t>
  </si>
  <si>
    <t>5c</t>
  </si>
  <si>
    <t>6c</t>
  </si>
  <si>
    <t>7a-I</t>
  </si>
  <si>
    <t>7a-II</t>
  </si>
  <si>
    <t>7a-III</t>
  </si>
  <si>
    <t>7b</t>
  </si>
  <si>
    <t>7c-I</t>
  </si>
  <si>
    <t>7c-II</t>
  </si>
  <si>
    <t>7c-III</t>
  </si>
  <si>
    <t>12a-I</t>
  </si>
  <si>
    <t>12a-II</t>
  </si>
  <si>
    <t>12a-III</t>
  </si>
  <si>
    <t>12b</t>
  </si>
  <si>
    <t>12c-I</t>
  </si>
  <si>
    <t>12c-II</t>
  </si>
  <si>
    <t>12c-III</t>
  </si>
  <si>
    <t>12a</t>
  </si>
  <si>
    <t>12c</t>
  </si>
  <si>
    <t>13a</t>
  </si>
  <si>
    <t>13b</t>
  </si>
  <si>
    <t>13c</t>
  </si>
  <si>
    <t>14a</t>
  </si>
  <si>
    <t>14b</t>
  </si>
  <si>
    <t>14c</t>
  </si>
  <si>
    <t>15a</t>
  </si>
  <si>
    <t>15b</t>
  </si>
  <si>
    <t>15c</t>
  </si>
  <si>
    <t>16a</t>
  </si>
  <si>
    <t>16b</t>
  </si>
  <si>
    <t>16c</t>
  </si>
  <si>
    <t>18a-I</t>
  </si>
  <si>
    <t>18a-II</t>
  </si>
  <si>
    <t>18b</t>
  </si>
  <si>
    <t>18c-I</t>
  </si>
  <si>
    <t>18c-II</t>
  </si>
  <si>
    <t>&lt; PARAMETRIZADOS 3,50% A MAIS (ACEITÁVEL)</t>
  </si>
  <si>
    <t>Valor considerado no orçamento: 757,23 m²</t>
  </si>
  <si>
    <t>RESUMO</t>
  </si>
  <si>
    <t xml:space="preserve">ITEM </t>
  </si>
  <si>
    <t>REVITALIZAÇÃO DE CONCRETO APARENTE</t>
  </si>
  <si>
    <t>Castelo D' água</t>
  </si>
  <si>
    <t>A</t>
  </si>
  <si>
    <t>DESPESAS INDIRETAS</t>
  </si>
  <si>
    <t>A1</t>
  </si>
  <si>
    <t>não se exige garantia</t>
  </si>
  <si>
    <t>A2</t>
  </si>
  <si>
    <t>ADMINISTRAÇÃO CENTRAL</t>
  </si>
  <si>
    <t>B</t>
  </si>
  <si>
    <t>LUCRO</t>
  </si>
  <si>
    <t>B1</t>
  </si>
  <si>
    <t>C</t>
  </si>
  <si>
    <t>DESPESA FINANCEIRA</t>
  </si>
  <si>
    <t>C1</t>
  </si>
  <si>
    <t>D</t>
  </si>
  <si>
    <t>IMPOSTOS</t>
  </si>
  <si>
    <t>D1</t>
  </si>
  <si>
    <t>PIS</t>
  </si>
  <si>
    <t>D2</t>
  </si>
  <si>
    <t>COFINS</t>
  </si>
  <si>
    <t>D3</t>
  </si>
  <si>
    <t>ISS</t>
  </si>
  <si>
    <t>Considerando 50% do custo de mão de obra e 50% materiais.</t>
  </si>
  <si>
    <t>D4</t>
  </si>
  <si>
    <t>CONTRIBUIÇÃO PREVIDENCIÁRIA SOBRE RECEITA BRUTA</t>
  </si>
  <si>
    <t>BDI = ((1+A)x(1+B)x(1+C)/(1-D))-1)*100</t>
  </si>
  <si>
    <t>Composição do BDI - Desonerado</t>
  </si>
  <si>
    <t>Composição dos Encargos Sociais</t>
  </si>
  <si>
    <t>Cód.</t>
  </si>
  <si>
    <t>Descrição</t>
  </si>
  <si>
    <t>Com Desoneração</t>
  </si>
  <si>
    <t>Horista (%)</t>
  </si>
  <si>
    <t>Mensalista (%)</t>
  </si>
  <si>
    <t>INSS</t>
  </si>
  <si>
    <t>SESI</t>
  </si>
  <si>
    <t>A3</t>
  </si>
  <si>
    <t>SENAI</t>
  </si>
  <si>
    <t>A4</t>
  </si>
  <si>
    <t>INCRA</t>
  </si>
  <si>
    <t>A5</t>
  </si>
  <si>
    <t>SEBRAE</t>
  </si>
  <si>
    <t>A6</t>
  </si>
  <si>
    <t>Salário Educação</t>
  </si>
  <si>
    <t>A7</t>
  </si>
  <si>
    <t>Seguro Contra Acidentes de Trabalho</t>
  </si>
  <si>
    <t>A8</t>
  </si>
  <si>
    <t>FGTS</t>
  </si>
  <si>
    <t>A9</t>
  </si>
  <si>
    <t>SECONCI</t>
  </si>
  <si>
    <t>Total (%)</t>
  </si>
  <si>
    <t>Repouso semanal remunerado</t>
  </si>
  <si>
    <t>B2</t>
  </si>
  <si>
    <t>Feriados</t>
  </si>
  <si>
    <t>B3</t>
  </si>
  <si>
    <t>Auxílio - Enfermidade</t>
  </si>
  <si>
    <t>B4</t>
  </si>
  <si>
    <t>B5</t>
  </si>
  <si>
    <t>Licença paternidade</t>
  </si>
  <si>
    <t>B6</t>
  </si>
  <si>
    <t>Faltas justificadas</t>
  </si>
  <si>
    <t>B7</t>
  </si>
  <si>
    <t>Dias de chuva</t>
  </si>
  <si>
    <t>B8</t>
  </si>
  <si>
    <t>Auxílio - Acedente de trabalho</t>
  </si>
  <si>
    <t>B9</t>
  </si>
  <si>
    <t>Férias gozadas</t>
  </si>
  <si>
    <t>B10</t>
  </si>
  <si>
    <t>Salário Maternidade</t>
  </si>
  <si>
    <t>Aviso prévio indenizado</t>
  </si>
  <si>
    <t>C2</t>
  </si>
  <si>
    <t>Aviso prévio trabalhado</t>
  </si>
  <si>
    <t>C3</t>
  </si>
  <si>
    <t>Férias indenizadas</t>
  </si>
  <si>
    <t>C5</t>
  </si>
  <si>
    <t>Depósito rescisão sem justa causa</t>
  </si>
  <si>
    <t>Indenização adicional</t>
  </si>
  <si>
    <t>Reincidência do Grupo A sobre o Grupo B</t>
  </si>
  <si>
    <t>Reubcudência do Grupo A sobre Aviso Prévio Trabalhado e Reincidência do FGTS sobre Aviso Prévio Indenizado</t>
  </si>
  <si>
    <t>Total (A+B+C+D) (%)</t>
  </si>
  <si>
    <r>
      <t>13</t>
    </r>
    <r>
      <rPr>
        <vertAlign val="superscript"/>
        <sz val="10"/>
        <rFont val="Arial"/>
        <family val="2"/>
      </rPr>
      <t xml:space="preserve">o </t>
    </r>
    <r>
      <rPr>
        <sz val="10"/>
        <rFont val="Arial"/>
        <family val="2"/>
      </rPr>
      <t>salário</t>
    </r>
  </si>
  <si>
    <t>RISCOS + seguro</t>
  </si>
  <si>
    <t>MONTAGEM E DESMONTAGEM DE ANDAIME</t>
  </si>
  <si>
    <t>LOCAÇÃO DE ANDAIME TUBULAR</t>
  </si>
  <si>
    <t>LOCAÇÃO DE ANDAIME TORRE</t>
  </si>
  <si>
    <t>-</t>
  </si>
  <si>
    <t xml:space="preserve">TOTAL </t>
  </si>
  <si>
    <t>m²</t>
  </si>
  <si>
    <t>m</t>
  </si>
  <si>
    <t>m x mes</t>
  </si>
  <si>
    <t>m² x mes</t>
  </si>
  <si>
    <t>CASTELO D'ÁGUA</t>
  </si>
  <si>
    <t>Caixa d'água</t>
  </si>
  <si>
    <t>Casa de Bombas</t>
  </si>
  <si>
    <t>Parte lateral superior</t>
  </si>
  <si>
    <t>Intermediária</t>
  </si>
  <si>
    <t>Fundo</t>
  </si>
  <si>
    <t>Total</t>
  </si>
  <si>
    <t>CASA DE BOMBAS</t>
  </si>
  <si>
    <t>Valor considerado no orçamento: 139,47 m²</t>
  </si>
  <si>
    <t>Fundos</t>
  </si>
  <si>
    <t>Teto</t>
  </si>
  <si>
    <t>Casa do Registro</t>
  </si>
  <si>
    <t>CASA DE REGISTRO</t>
  </si>
  <si>
    <t>"Dente" do pilar Laterais Direita</t>
  </si>
  <si>
    <t>"Dente" do pilar Laterais Esquerda</t>
  </si>
  <si>
    <t>Triangulo 1 Direita</t>
  </si>
  <si>
    <t>Triangulo 2 Direita</t>
  </si>
  <si>
    <t>Triangulo 3 Esquerda</t>
  </si>
  <si>
    <t>Triangulo 4 Esquerda</t>
  </si>
  <si>
    <t>"Pescoço" do pilar</t>
  </si>
  <si>
    <t>"Dente" do pilar Superior Direita</t>
  </si>
  <si>
    <t>"Dente" do pilar Superior Esquerda</t>
  </si>
  <si>
    <t>CAIXA D' ÁGUA</t>
  </si>
  <si>
    <t>&lt; PARAMETRIZADOS 4,68% A MAIS (ACEITÁVEL)</t>
  </si>
  <si>
    <t>Dezembro/2022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</si>
</sst>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00"/>
    <numFmt numFmtId="165" formatCode="#,##0.00&quot; M²&quot;"/>
    <numFmt numFmtId="166" formatCode="_(* #,##0.00_);_(* \(#,##0.00\);_(* &quot;-&quot;??_);_(@_)"/>
    <numFmt numFmtId="167" formatCode="_(&quot;R$ &quot;* #,##0.00_);_(&quot;R$ &quot;* \(#,##0.00\);_(&quot;R$ &quot;* &quot;-&quot;??_);_(@_)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2060"/>
      <name val="Calibri"/>
      <family val="2"/>
      <scheme val="minor"/>
    </font>
    <font>
      <sz val="11"/>
      <color rgb="FF002060"/>
      <name val="Calibri"/>
      <family val="2"/>
      <scheme val="minor"/>
    </font>
    <font>
      <b/>
      <sz val="11"/>
      <color theme="9" tint="-0.249977111117893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sz val="11"/>
      <name val="Arial"/>
      <family val="2"/>
    </font>
    <font>
      <b/>
      <sz val="9"/>
      <name val="Arial"/>
      <family val="2"/>
    </font>
    <font>
      <b/>
      <sz val="9"/>
      <color indexed="8"/>
      <name val="Arial"/>
      <family val="2"/>
    </font>
    <font>
      <sz val="12"/>
      <name val="Arial"/>
      <family val="2"/>
    </font>
    <font>
      <sz val="9"/>
      <name val="Arial"/>
      <family val="2"/>
    </font>
    <font>
      <sz val="9"/>
      <color indexed="8"/>
      <name val="Arial"/>
      <family val="2"/>
    </font>
    <font>
      <sz val="10"/>
      <color indexed="10"/>
      <name val="Arial"/>
      <family val="2"/>
    </font>
    <font>
      <sz val="12"/>
      <color rgb="FF000000"/>
      <name val="Arial"/>
      <family val="2"/>
    </font>
    <font>
      <sz val="12"/>
      <name val="Calibri"/>
      <family val="2"/>
      <scheme val="minor"/>
    </font>
    <font>
      <vertAlign val="superscript"/>
      <sz val="10"/>
      <name val="Arial"/>
      <family val="2"/>
    </font>
    <font>
      <sz val="11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7" tint="0.59999389629810485"/>
        <bgColor indexed="64"/>
      </patternFill>
    </fill>
  </fills>
  <borders count="6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theme="0" tint="-0.249977111117893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/>
      <top style="medium">
        <color indexed="64"/>
      </top>
      <bottom style="dotted">
        <color indexed="64"/>
      </bottom>
      <diagonal/>
    </border>
    <border>
      <left style="thin">
        <color theme="0" tint="-0.249977111117893"/>
      </left>
      <right/>
      <top/>
      <bottom style="dotted">
        <color indexed="64"/>
      </bottom>
      <diagonal/>
    </border>
    <border>
      <left style="thin">
        <color theme="0" tint="-0.249977111117893"/>
      </left>
      <right/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/>
      <top style="dotted">
        <color indexed="64"/>
      </top>
      <bottom style="medium">
        <color indexed="64"/>
      </bottom>
      <diagonal/>
    </border>
    <border>
      <left style="thin">
        <color theme="0" tint="-0.249977111117893"/>
      </left>
      <right/>
      <top style="dotted">
        <color indexed="64"/>
      </top>
      <bottom style="medium">
        <color indexed="64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 style="medium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dotted">
        <color indexed="64"/>
      </bottom>
      <diagonal/>
    </border>
    <border>
      <left style="thin">
        <color theme="0" tint="-0.249977111117893"/>
      </left>
      <right style="medium">
        <color indexed="64"/>
      </right>
      <top/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dotted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dotted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dotted">
        <color indexed="64"/>
      </left>
      <right/>
      <top style="dotted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medium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</borders>
  <cellStyleXfs count="5">
    <xf numFmtId="0" fontId="0" fillId="0" borderId="0"/>
    <xf numFmtId="9" fontId="1" fillId="0" borderId="0" applyFont="0" applyFill="0" applyBorder="0" applyAlignment="0" applyProtection="0"/>
    <xf numFmtId="0" fontId="7" fillId="0" borderId="0"/>
    <xf numFmtId="166" fontId="7" fillId="0" borderId="0" applyFont="0" applyFill="0" applyBorder="0" applyAlignment="0" applyProtection="0"/>
    <xf numFmtId="167" fontId="7" fillId="0" borderId="0" applyFont="0" applyFill="0" applyBorder="0" applyAlignment="0" applyProtection="0"/>
  </cellStyleXfs>
  <cellXfs count="182">
    <xf numFmtId="0" fontId="0" fillId="0" borderId="0" xfId="0"/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2" fontId="0" fillId="0" borderId="6" xfId="0" applyNumberFormat="1" applyBorder="1" applyAlignment="1">
      <alignment horizontal="center" vertical="center"/>
    </xf>
    <xf numFmtId="2" fontId="0" fillId="0" borderId="7" xfId="0" applyNumberFormat="1" applyBorder="1" applyAlignment="1">
      <alignment horizontal="center" vertical="center"/>
    </xf>
    <xf numFmtId="2" fontId="0" fillId="0" borderId="8" xfId="0" applyNumberFormat="1" applyBorder="1" applyAlignment="1">
      <alignment horizontal="center" vertical="center"/>
    </xf>
    <xf numFmtId="164" fontId="0" fillId="0" borderId="7" xfId="0" applyNumberFormat="1" applyBorder="1" applyAlignment="1">
      <alignment horizontal="center" vertical="center"/>
    </xf>
    <xf numFmtId="164" fontId="0" fillId="3" borderId="9" xfId="0" applyNumberFormat="1" applyFill="1" applyBorder="1" applyAlignment="1">
      <alignment horizontal="center" vertical="center"/>
    </xf>
    <xf numFmtId="164" fontId="0" fillId="3" borderId="10" xfId="0" applyNumberFormat="1" applyFill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2" fontId="0" fillId="0" borderId="12" xfId="0" applyNumberFormat="1" applyBorder="1" applyAlignment="1">
      <alignment horizontal="center" vertical="center"/>
    </xf>
    <xf numFmtId="164" fontId="0" fillId="0" borderId="8" xfId="0" applyNumberForma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2" fontId="0" fillId="0" borderId="14" xfId="0" applyNumberFormat="1" applyBorder="1" applyAlignment="1">
      <alignment horizontal="center" vertical="center"/>
    </xf>
    <xf numFmtId="2" fontId="0" fillId="0" borderId="15" xfId="0" applyNumberFormat="1" applyBorder="1" applyAlignment="1">
      <alignment horizontal="center" vertical="center"/>
    </xf>
    <xf numFmtId="164" fontId="0" fillId="0" borderId="15" xfId="0" applyNumberFormat="1" applyBorder="1" applyAlignment="1">
      <alignment horizontal="center" vertical="center"/>
    </xf>
    <xf numFmtId="164" fontId="0" fillId="3" borderId="16" xfId="0" applyNumberFormat="1" applyFill="1" applyBorder="1" applyAlignment="1">
      <alignment horizontal="center" vertical="center"/>
    </xf>
    <xf numFmtId="164" fontId="0" fillId="3" borderId="17" xfId="0" applyNumberForma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18" xfId="0" applyFont="1" applyBorder="1" applyAlignment="1"/>
    <xf numFmtId="0" fontId="2" fillId="4" borderId="5" xfId="0" applyFont="1" applyFill="1" applyBorder="1" applyAlignment="1">
      <alignment horizontal="center" vertical="center"/>
    </xf>
    <xf numFmtId="2" fontId="0" fillId="4" borderId="6" xfId="0" applyNumberFormat="1" applyFill="1" applyBorder="1" applyAlignment="1">
      <alignment horizontal="center" vertical="center"/>
    </xf>
    <xf numFmtId="2" fontId="0" fillId="4" borderId="7" xfId="0" applyNumberFormat="1" applyFill="1" applyBorder="1" applyAlignment="1">
      <alignment horizontal="center" vertical="center"/>
    </xf>
    <xf numFmtId="164" fontId="0" fillId="4" borderId="7" xfId="0" applyNumberFormat="1" applyFill="1" applyBorder="1" applyAlignment="1">
      <alignment horizontal="center" vertical="center"/>
    </xf>
    <xf numFmtId="2" fontId="0" fillId="4" borderId="19" xfId="0" applyNumberFormat="1" applyFill="1" applyBorder="1" applyAlignment="1">
      <alignment horizontal="center" vertical="center"/>
    </xf>
    <xf numFmtId="164" fontId="0" fillId="4" borderId="20" xfId="0" applyNumberFormat="1" applyFill="1" applyBorder="1" applyAlignment="1">
      <alignment horizontal="center" vertical="center"/>
    </xf>
    <xf numFmtId="0" fontId="0" fillId="0" borderId="11" xfId="0" applyBorder="1" applyAlignment="1">
      <alignment horizontal="left" vertical="center" indent="1"/>
    </xf>
    <xf numFmtId="2" fontId="0" fillId="0" borderId="21" xfId="0" applyNumberFormat="1" applyBorder="1" applyAlignment="1">
      <alignment horizontal="center" vertical="center"/>
    </xf>
    <xf numFmtId="0" fontId="0" fillId="0" borderId="13" xfId="0" applyBorder="1" applyAlignment="1">
      <alignment horizontal="left" vertical="center" indent="1"/>
    </xf>
    <xf numFmtId="0" fontId="0" fillId="0" borderId="5" xfId="0" applyBorder="1" applyAlignment="1">
      <alignment horizontal="left" vertical="center" indent="1"/>
    </xf>
    <xf numFmtId="164" fontId="0" fillId="3" borderId="19" xfId="0" applyNumberFormat="1" applyFill="1" applyBorder="1" applyAlignment="1">
      <alignment horizontal="center" vertical="center"/>
    </xf>
    <xf numFmtId="164" fontId="0" fillId="3" borderId="22" xfId="0" applyNumberFormat="1" applyFill="1" applyBorder="1" applyAlignment="1">
      <alignment horizontal="center" vertical="center"/>
    </xf>
    <xf numFmtId="2" fontId="0" fillId="4" borderId="12" xfId="0" applyNumberFormat="1" applyFill="1" applyBorder="1" applyAlignment="1">
      <alignment horizontal="center" vertical="center"/>
    </xf>
    <xf numFmtId="0" fontId="3" fillId="5" borderId="23" xfId="0" applyFont="1" applyFill="1" applyBorder="1" applyAlignment="1">
      <alignment horizontal="center" vertical="center"/>
    </xf>
    <xf numFmtId="0" fontId="2" fillId="3" borderId="24" xfId="0" applyFont="1" applyFill="1" applyBorder="1" applyAlignment="1">
      <alignment horizontal="center" vertical="center"/>
    </xf>
    <xf numFmtId="2" fontId="4" fillId="3" borderId="24" xfId="0" applyNumberFormat="1" applyFont="1" applyFill="1" applyBorder="1" applyAlignment="1">
      <alignment horizontal="center" vertical="center"/>
    </xf>
    <xf numFmtId="0" fontId="2" fillId="6" borderId="21" xfId="0" applyFont="1" applyFill="1" applyBorder="1" applyAlignment="1">
      <alignment horizontal="center" vertical="center"/>
    </xf>
    <xf numFmtId="2" fontId="4" fillId="6" borderId="21" xfId="0" applyNumberFormat="1" applyFont="1" applyFill="1" applyBorder="1" applyAlignment="1">
      <alignment horizontal="center" vertical="center"/>
    </xf>
    <xf numFmtId="0" fontId="2" fillId="3" borderId="18" xfId="0" applyFont="1" applyFill="1" applyBorder="1" applyAlignment="1">
      <alignment horizontal="center" vertical="center"/>
    </xf>
    <xf numFmtId="2" fontId="4" fillId="3" borderId="18" xfId="0" applyNumberFormat="1" applyFont="1" applyFill="1" applyBorder="1" applyAlignment="1">
      <alignment horizontal="center" vertical="center"/>
    </xf>
    <xf numFmtId="0" fontId="3" fillId="5" borderId="25" xfId="0" applyFont="1" applyFill="1" applyBorder="1" applyAlignment="1">
      <alignment horizontal="center" vertical="center"/>
    </xf>
    <xf numFmtId="165" fontId="3" fillId="5" borderId="25" xfId="0" applyNumberFormat="1" applyFont="1" applyFill="1" applyBorder="1" applyAlignment="1">
      <alignment horizontal="center" vertical="center"/>
    </xf>
    <xf numFmtId="2" fontId="5" fillId="6" borderId="18" xfId="0" applyNumberFormat="1" applyFont="1" applyFill="1" applyBorder="1" applyAlignment="1">
      <alignment horizontal="center" vertical="center"/>
    </xf>
    <xf numFmtId="165" fontId="5" fillId="6" borderId="18" xfId="0" applyNumberFormat="1" applyFont="1" applyFill="1" applyBorder="1" applyAlignment="1">
      <alignment horizontal="center" vertical="center"/>
    </xf>
    <xf numFmtId="0" fontId="2" fillId="7" borderId="23" xfId="0" applyFont="1" applyFill="1" applyBorder="1" applyAlignment="1">
      <alignment horizontal="center" vertical="center"/>
    </xf>
    <xf numFmtId="165" fontId="2" fillId="7" borderId="23" xfId="0" applyNumberFormat="1" applyFont="1" applyFill="1" applyBorder="1" applyAlignment="1">
      <alignment horizontal="center" vertical="center"/>
    </xf>
    <xf numFmtId="10" fontId="2" fillId="7" borderId="23" xfId="1" applyNumberFormat="1" applyFont="1" applyFill="1" applyBorder="1" applyAlignment="1">
      <alignment horizontal="center" vertical="center"/>
    </xf>
    <xf numFmtId="0" fontId="0" fillId="0" borderId="0" xfId="0" applyFill="1"/>
    <xf numFmtId="0" fontId="3" fillId="5" borderId="23" xfId="0" applyFont="1" applyFill="1" applyBorder="1" applyAlignment="1">
      <alignment horizontal="center"/>
    </xf>
    <xf numFmtId="0" fontId="0" fillId="9" borderId="0" xfId="0" applyFill="1"/>
    <xf numFmtId="0" fontId="2" fillId="9" borderId="0" xfId="0" applyFont="1" applyFill="1"/>
    <xf numFmtId="0" fontId="2" fillId="2" borderId="23" xfId="0" applyFont="1" applyFill="1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164" fontId="0" fillId="3" borderId="26" xfId="0" applyNumberFormat="1" applyFill="1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164" fontId="0" fillId="3" borderId="29" xfId="0" applyNumberFormat="1" applyFill="1" applyBorder="1" applyAlignment="1">
      <alignment horizontal="center" vertical="center"/>
    </xf>
    <xf numFmtId="0" fontId="0" fillId="0" borderId="30" xfId="0" applyBorder="1"/>
    <xf numFmtId="0" fontId="0" fillId="0" borderId="18" xfId="0" applyBorder="1"/>
    <xf numFmtId="0" fontId="0" fillId="0" borderId="31" xfId="0" applyBorder="1"/>
    <xf numFmtId="0" fontId="2" fillId="0" borderId="0" xfId="0" applyFont="1" applyFill="1"/>
    <xf numFmtId="0" fontId="2" fillId="4" borderId="22" xfId="0" applyFont="1" applyFill="1" applyBorder="1" applyAlignment="1">
      <alignment horizontal="center" vertical="center"/>
    </xf>
    <xf numFmtId="0" fontId="0" fillId="0" borderId="27" xfId="0" applyBorder="1" applyAlignment="1">
      <alignment horizontal="left" vertical="center" indent="1"/>
    </xf>
    <xf numFmtId="49" fontId="8" fillId="0" borderId="0" xfId="2" applyNumberFormat="1" applyFont="1" applyAlignment="1">
      <alignment vertical="center"/>
    </xf>
    <xf numFmtId="0" fontId="7" fillId="0" borderId="0" xfId="2" applyAlignment="1">
      <alignment vertical="center"/>
    </xf>
    <xf numFmtId="0" fontId="10" fillId="0" borderId="0" xfId="2" applyFont="1" applyAlignment="1">
      <alignment horizontal="justify" vertical="center"/>
    </xf>
    <xf numFmtId="0" fontId="6" fillId="11" borderId="2" xfId="2" applyFont="1" applyFill="1" applyBorder="1" applyAlignment="1">
      <alignment horizontal="center" vertical="center"/>
    </xf>
    <xf numFmtId="0" fontId="11" fillId="11" borderId="23" xfId="2" applyFont="1" applyFill="1" applyBorder="1" applyAlignment="1">
      <alignment horizontal="center" vertical="center" wrapText="1"/>
    </xf>
    <xf numFmtId="10" fontId="12" fillId="11" borderId="4" xfId="2" applyNumberFormat="1" applyFont="1" applyFill="1" applyBorder="1" applyAlignment="1">
      <alignment horizontal="center" vertical="center"/>
    </xf>
    <xf numFmtId="0" fontId="13" fillId="0" borderId="0" xfId="2" applyFont="1" applyAlignment="1">
      <alignment vertical="center"/>
    </xf>
    <xf numFmtId="0" fontId="14" fillId="0" borderId="38" xfId="2" applyFont="1" applyBorder="1" applyAlignment="1">
      <alignment horizontal="center" vertical="center" wrapText="1"/>
    </xf>
    <xf numFmtId="166" fontId="14" fillId="0" borderId="39" xfId="3" applyFont="1" applyBorder="1" applyAlignment="1">
      <alignment vertical="center" wrapText="1"/>
    </xf>
    <xf numFmtId="10" fontId="15" fillId="0" borderId="40" xfId="2" applyNumberFormat="1" applyFont="1" applyBorder="1" applyAlignment="1">
      <alignment horizontal="center" vertical="center"/>
    </xf>
    <xf numFmtId="0" fontId="14" fillId="0" borderId="41" xfId="2" applyFont="1" applyBorder="1" applyAlignment="1">
      <alignment horizontal="center" vertical="center" wrapText="1"/>
    </xf>
    <xf numFmtId="166" fontId="14" fillId="0" borderId="42" xfId="3" applyFont="1" applyBorder="1" applyAlignment="1">
      <alignment vertical="center" wrapText="1"/>
    </xf>
    <xf numFmtId="10" fontId="15" fillId="0" borderId="43" xfId="2" applyNumberFormat="1" applyFont="1" applyBorder="1" applyAlignment="1">
      <alignment horizontal="center" vertical="center"/>
    </xf>
    <xf numFmtId="0" fontId="11" fillId="11" borderId="2" xfId="2" applyFont="1" applyFill="1" applyBorder="1" applyAlignment="1">
      <alignment horizontal="center" vertical="center" wrapText="1"/>
    </xf>
    <xf numFmtId="0" fontId="16" fillId="0" borderId="0" xfId="2" applyFont="1" applyAlignment="1">
      <alignment vertical="center"/>
    </xf>
    <xf numFmtId="0" fontId="14" fillId="0" borderId="44" xfId="2" applyFont="1" applyBorder="1" applyAlignment="1">
      <alignment horizontal="center" vertical="center" wrapText="1"/>
    </xf>
    <xf numFmtId="166" fontId="14" fillId="0" borderId="45" xfId="3" applyFont="1" applyBorder="1" applyAlignment="1">
      <alignment vertical="center" wrapText="1"/>
    </xf>
    <xf numFmtId="10" fontId="15" fillId="0" borderId="46" xfId="2" applyNumberFormat="1" applyFont="1" applyBorder="1" applyAlignment="1">
      <alignment horizontal="center" vertical="center"/>
    </xf>
    <xf numFmtId="49" fontId="7" fillId="0" borderId="44" xfId="2" applyNumberFormat="1" applyFont="1" applyBorder="1" applyAlignment="1">
      <alignment horizontal="center" vertical="center"/>
    </xf>
    <xf numFmtId="166" fontId="11" fillId="11" borderId="23" xfId="3" applyFont="1" applyFill="1" applyBorder="1" applyAlignment="1">
      <alignment horizontal="center" vertical="center" wrapText="1"/>
    </xf>
    <xf numFmtId="10" fontId="12" fillId="11" borderId="4" xfId="4" applyNumberFormat="1" applyFont="1" applyFill="1" applyBorder="1" applyAlignment="1">
      <alignment horizontal="center" vertical="center"/>
    </xf>
    <xf numFmtId="10" fontId="7" fillId="0" borderId="0" xfId="2" applyNumberFormat="1" applyAlignment="1">
      <alignment vertical="center"/>
    </xf>
    <xf numFmtId="0" fontId="7" fillId="0" borderId="0" xfId="2" applyBorder="1" applyAlignment="1">
      <alignment vertical="center"/>
    </xf>
    <xf numFmtId="0" fontId="18" fillId="0" borderId="0" xfId="2" applyFont="1" applyBorder="1" applyAlignment="1">
      <alignment vertical="center"/>
    </xf>
    <xf numFmtId="0" fontId="7" fillId="0" borderId="0" xfId="2" applyBorder="1"/>
    <xf numFmtId="0" fontId="16" fillId="0" borderId="0" xfId="2" applyFont="1" applyBorder="1" applyAlignment="1">
      <alignment vertical="center"/>
    </xf>
    <xf numFmtId="0" fontId="13" fillId="0" borderId="0" xfId="2" applyFont="1" applyBorder="1" applyAlignment="1">
      <alignment vertical="center"/>
    </xf>
    <xf numFmtId="0" fontId="8" fillId="11" borderId="18" xfId="2" applyFont="1" applyFill="1" applyBorder="1" applyAlignment="1">
      <alignment horizontal="center" vertical="center" wrapText="1"/>
    </xf>
    <xf numFmtId="49" fontId="8" fillId="0" borderId="25" xfId="2" applyNumberFormat="1" applyFont="1" applyBorder="1" applyAlignment="1">
      <alignment vertical="center"/>
    </xf>
    <xf numFmtId="0" fontId="7" fillId="0" borderId="25" xfId="2" applyFont="1" applyBorder="1" applyAlignment="1">
      <alignment vertical="center"/>
    </xf>
    <xf numFmtId="2" fontId="7" fillId="0" borderId="25" xfId="2" applyNumberFormat="1" applyFont="1" applyBorder="1" applyAlignment="1">
      <alignment horizontal="center" vertical="center"/>
    </xf>
    <xf numFmtId="0" fontId="8" fillId="0" borderId="47" xfId="2" applyFont="1" applyBorder="1" applyAlignment="1">
      <alignment vertical="center"/>
    </xf>
    <xf numFmtId="0" fontId="7" fillId="0" borderId="47" xfId="2" applyFont="1" applyBorder="1" applyAlignment="1">
      <alignment vertical="center"/>
    </xf>
    <xf numFmtId="2" fontId="7" fillId="0" borderId="47" xfId="2" applyNumberFormat="1" applyFont="1" applyBorder="1" applyAlignment="1">
      <alignment horizontal="center" vertical="center"/>
    </xf>
    <xf numFmtId="49" fontId="8" fillId="0" borderId="47" xfId="2" applyNumberFormat="1" applyFont="1" applyBorder="1" applyAlignment="1">
      <alignment vertical="center"/>
    </xf>
    <xf numFmtId="49" fontId="8" fillId="0" borderId="18" xfId="2" applyNumberFormat="1" applyFont="1" applyBorder="1" applyAlignment="1">
      <alignment vertical="center"/>
    </xf>
    <xf numFmtId="0" fontId="7" fillId="0" borderId="18" xfId="2" applyFont="1" applyBorder="1" applyAlignment="1">
      <alignment vertical="center"/>
    </xf>
    <xf numFmtId="2" fontId="7" fillId="0" borderId="18" xfId="2" applyNumberFormat="1" applyFont="1" applyBorder="1" applyAlignment="1">
      <alignment horizontal="center" vertical="center"/>
    </xf>
    <xf numFmtId="0" fontId="8" fillId="11" borderId="23" xfId="2" applyFont="1" applyFill="1" applyBorder="1" applyAlignment="1">
      <alignment horizontal="center" vertical="center" wrapText="1"/>
    </xf>
    <xf numFmtId="2" fontId="8" fillId="11" borderId="23" xfId="2" applyNumberFormat="1" applyFont="1" applyFill="1" applyBorder="1" applyAlignment="1">
      <alignment horizontal="center" vertical="center" wrapText="1"/>
    </xf>
    <xf numFmtId="0" fontId="7" fillId="0" borderId="47" xfId="2" applyFont="1" applyBorder="1" applyAlignment="1">
      <alignment vertical="center" wrapText="1"/>
    </xf>
    <xf numFmtId="0" fontId="8" fillId="8" borderId="23" xfId="2" applyFont="1" applyFill="1" applyBorder="1" applyAlignment="1">
      <alignment horizontal="center" vertical="center" wrapText="1"/>
    </xf>
    <xf numFmtId="2" fontId="8" fillId="8" borderId="23" xfId="2" applyNumberFormat="1" applyFont="1" applyFill="1" applyBorder="1" applyAlignment="1">
      <alignment horizontal="center" vertical="center" wrapText="1"/>
    </xf>
    <xf numFmtId="10" fontId="0" fillId="0" borderId="0" xfId="1" applyNumberFormat="1" applyFont="1"/>
    <xf numFmtId="0" fontId="2" fillId="0" borderId="49" xfId="0" applyFont="1" applyBorder="1" applyAlignment="1">
      <alignment horizontal="center" vertical="center"/>
    </xf>
    <xf numFmtId="0" fontId="2" fillId="0" borderId="35" xfId="0" applyFont="1" applyBorder="1" applyAlignment="1">
      <alignment horizontal="center" vertical="center"/>
    </xf>
    <xf numFmtId="0" fontId="2" fillId="0" borderId="50" xfId="0" applyFont="1" applyBorder="1" applyAlignment="1">
      <alignment horizontal="center" vertical="center"/>
    </xf>
    <xf numFmtId="0" fontId="0" fillId="0" borderId="48" xfId="0" applyBorder="1" applyAlignment="1">
      <alignment horizontal="center" vertical="center"/>
    </xf>
    <xf numFmtId="0" fontId="0" fillId="0" borderId="48" xfId="0" applyBorder="1" applyAlignment="1">
      <alignment horizontal="center"/>
    </xf>
    <xf numFmtId="2" fontId="0" fillId="0" borderId="52" xfId="0" applyNumberFormat="1" applyBorder="1" applyAlignment="1">
      <alignment horizontal="center" vertical="center"/>
    </xf>
    <xf numFmtId="0" fontId="0" fillId="0" borderId="55" xfId="0" applyBorder="1" applyAlignment="1">
      <alignment horizontal="center"/>
    </xf>
    <xf numFmtId="2" fontId="0" fillId="0" borderId="57" xfId="0" applyNumberFormat="1" applyBorder="1" applyAlignment="1">
      <alignment horizontal="center" vertical="center"/>
    </xf>
    <xf numFmtId="0" fontId="0" fillId="0" borderId="42" xfId="0" applyBorder="1" applyAlignment="1">
      <alignment horizontal="center" vertical="center"/>
    </xf>
    <xf numFmtId="0" fontId="0" fillId="0" borderId="42" xfId="0" applyBorder="1" applyAlignment="1">
      <alignment horizontal="center"/>
    </xf>
    <xf numFmtId="0" fontId="0" fillId="0" borderId="58" xfId="0" applyBorder="1" applyAlignment="1">
      <alignment horizontal="center"/>
    </xf>
    <xf numFmtId="2" fontId="0" fillId="0" borderId="61" xfId="0" applyNumberFormat="1" applyBorder="1" applyAlignment="1">
      <alignment horizontal="center" vertical="center"/>
    </xf>
    <xf numFmtId="0" fontId="0" fillId="0" borderId="62" xfId="0" applyBorder="1" applyAlignment="1">
      <alignment horizontal="center" vertical="center"/>
    </xf>
    <xf numFmtId="0" fontId="0" fillId="0" borderId="62" xfId="0" applyBorder="1" applyAlignment="1">
      <alignment horizontal="center"/>
    </xf>
    <xf numFmtId="0" fontId="0" fillId="0" borderId="59" xfId="0" applyBorder="1"/>
    <xf numFmtId="0" fontId="0" fillId="0" borderId="63" xfId="0" applyBorder="1" applyAlignment="1">
      <alignment horizontal="center"/>
    </xf>
    <xf numFmtId="2" fontId="2" fillId="0" borderId="51" xfId="0" applyNumberFormat="1" applyFont="1" applyBorder="1" applyAlignment="1">
      <alignment horizontal="center" vertical="center"/>
    </xf>
    <xf numFmtId="0" fontId="0" fillId="0" borderId="53" xfId="0" applyBorder="1" applyAlignment="1">
      <alignment horizontal="left"/>
    </xf>
    <xf numFmtId="2" fontId="2" fillId="0" borderId="41" xfId="0" applyNumberFormat="1" applyFont="1" applyBorder="1" applyAlignment="1">
      <alignment horizontal="center" vertical="center"/>
    </xf>
    <xf numFmtId="0" fontId="0" fillId="0" borderId="43" xfId="0" applyBorder="1" applyAlignment="1">
      <alignment horizontal="left"/>
    </xf>
    <xf numFmtId="0" fontId="0" fillId="0" borderId="43" xfId="0" applyFill="1" applyBorder="1" applyAlignment="1">
      <alignment horizontal="left"/>
    </xf>
    <xf numFmtId="2" fontId="2" fillId="0" borderId="54" xfId="0" applyNumberFormat="1" applyFont="1" applyBorder="1" applyAlignment="1">
      <alignment horizontal="center" vertical="center"/>
    </xf>
    <xf numFmtId="0" fontId="0" fillId="0" borderId="56" xfId="0" applyFill="1" applyBorder="1" applyAlignment="1">
      <alignment horizontal="left"/>
    </xf>
    <xf numFmtId="0" fontId="0" fillId="0" borderId="0" xfId="0" applyBorder="1" applyAlignment="1">
      <alignment horizontal="left" vertical="center" indent="1"/>
    </xf>
    <xf numFmtId="2" fontId="0" fillId="0" borderId="0" xfId="0" applyNumberFormat="1" applyBorder="1" applyAlignment="1">
      <alignment horizontal="center" vertical="center"/>
    </xf>
    <xf numFmtId="164" fontId="0" fillId="0" borderId="0" xfId="0" applyNumberFormat="1" applyBorder="1" applyAlignment="1">
      <alignment horizontal="center" vertical="center"/>
    </xf>
    <xf numFmtId="164" fontId="0" fillId="0" borderId="0" xfId="0" applyNumberFormat="1"/>
    <xf numFmtId="0" fontId="2" fillId="6" borderId="64" xfId="0" applyFont="1" applyFill="1" applyBorder="1" applyAlignment="1">
      <alignment horizontal="center" vertical="center"/>
    </xf>
    <xf numFmtId="2" fontId="4" fillId="6" borderId="64" xfId="0" applyNumberFormat="1" applyFont="1" applyFill="1" applyBorder="1" applyAlignment="1">
      <alignment horizontal="center" vertical="center"/>
    </xf>
    <xf numFmtId="0" fontId="2" fillId="3" borderId="21" xfId="0" applyFont="1" applyFill="1" applyBorder="1" applyAlignment="1">
      <alignment horizontal="center" vertical="center"/>
    </xf>
    <xf numFmtId="2" fontId="4" fillId="3" borderId="21" xfId="0" applyNumberFormat="1" applyFont="1" applyFill="1" applyBorder="1" applyAlignment="1">
      <alignment horizontal="center" vertical="center"/>
    </xf>
    <xf numFmtId="0" fontId="20" fillId="0" borderId="60" xfId="0" applyFont="1" applyBorder="1" applyAlignment="1">
      <alignment wrapText="1"/>
    </xf>
    <xf numFmtId="0" fontId="20" fillId="0" borderId="37" xfId="0" applyFont="1" applyBorder="1" applyAlignment="1">
      <alignment wrapText="1"/>
    </xf>
    <xf numFmtId="0" fontId="0" fillId="0" borderId="65" xfId="0" applyBorder="1" applyAlignment="1">
      <alignment horizontal="center"/>
    </xf>
    <xf numFmtId="0" fontId="0" fillId="0" borderId="65" xfId="0" applyBorder="1"/>
    <xf numFmtId="2" fontId="0" fillId="0" borderId="65" xfId="0" applyNumberFormat="1" applyBorder="1"/>
    <xf numFmtId="164" fontId="0" fillId="3" borderId="65" xfId="0" applyNumberFormat="1" applyFill="1" applyBorder="1" applyAlignment="1">
      <alignment horizontal="center" vertical="center"/>
    </xf>
    <xf numFmtId="0" fontId="0" fillId="0" borderId="66" xfId="0" applyBorder="1" applyAlignment="1">
      <alignment horizontal="center"/>
    </xf>
    <xf numFmtId="0" fontId="0" fillId="0" borderId="66" xfId="0" applyBorder="1"/>
    <xf numFmtId="2" fontId="0" fillId="0" borderId="66" xfId="0" applyNumberFormat="1" applyBorder="1"/>
    <xf numFmtId="164" fontId="0" fillId="3" borderId="66" xfId="0" applyNumberFormat="1" applyFill="1" applyBorder="1" applyAlignment="1">
      <alignment horizontal="center" vertical="center"/>
    </xf>
    <xf numFmtId="0" fontId="0" fillId="0" borderId="65" xfId="0" applyBorder="1" applyAlignment="1">
      <alignment horizontal="center" vertical="center"/>
    </xf>
    <xf numFmtId="2" fontId="0" fillId="0" borderId="65" xfId="0" applyNumberFormat="1" applyBorder="1" applyAlignment="1">
      <alignment horizontal="center" vertical="center"/>
    </xf>
    <xf numFmtId="164" fontId="0" fillId="0" borderId="65" xfId="0" applyNumberFormat="1" applyBorder="1" applyAlignment="1">
      <alignment horizontal="center" vertical="center"/>
    </xf>
    <xf numFmtId="0" fontId="0" fillId="12" borderId="66" xfId="0" applyFill="1" applyBorder="1"/>
    <xf numFmtId="0" fontId="0" fillId="8" borderId="66" xfId="0" applyFill="1" applyBorder="1"/>
    <xf numFmtId="0" fontId="0" fillId="0" borderId="65" xfId="0" applyBorder="1" applyAlignment="1">
      <alignment horizontal="left"/>
    </xf>
    <xf numFmtId="0" fontId="0" fillId="3" borderId="65" xfId="0" applyFill="1" applyBorder="1"/>
    <xf numFmtId="0" fontId="0" fillId="3" borderId="66" xfId="0" applyFill="1" applyBorder="1"/>
    <xf numFmtId="10" fontId="7" fillId="0" borderId="0" xfId="1" applyNumberFormat="1" applyFont="1" applyAlignment="1">
      <alignment vertical="center"/>
    </xf>
    <xf numFmtId="0" fontId="2" fillId="10" borderId="0" xfId="0" applyFont="1" applyFill="1" applyAlignment="1">
      <alignment horizontal="center"/>
    </xf>
    <xf numFmtId="0" fontId="2" fillId="0" borderId="36" xfId="0" applyFont="1" applyBorder="1" applyAlignment="1">
      <alignment horizontal="center" vertical="center"/>
    </xf>
    <xf numFmtId="0" fontId="2" fillId="0" borderId="50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/>
    </xf>
    <xf numFmtId="0" fontId="2" fillId="0" borderId="32" xfId="0" applyFont="1" applyBorder="1" applyAlignment="1">
      <alignment horizontal="center" vertical="center"/>
    </xf>
    <xf numFmtId="0" fontId="2" fillId="0" borderId="34" xfId="0" applyFont="1" applyBorder="1" applyAlignment="1">
      <alignment horizontal="center" vertical="center"/>
    </xf>
    <xf numFmtId="0" fontId="2" fillId="0" borderId="30" xfId="0" applyFont="1" applyBorder="1" applyAlignment="1">
      <alignment horizontal="center" vertical="center"/>
    </xf>
    <xf numFmtId="0" fontId="2" fillId="0" borderId="31" xfId="0" applyFont="1" applyBorder="1" applyAlignment="1">
      <alignment horizontal="center" vertical="center"/>
    </xf>
    <xf numFmtId="0" fontId="6" fillId="0" borderId="35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6" fillId="0" borderId="30" xfId="0" applyFont="1" applyBorder="1" applyAlignment="1">
      <alignment horizontal="center" vertical="center"/>
    </xf>
    <xf numFmtId="0" fontId="6" fillId="0" borderId="18" xfId="0" applyFont="1" applyBorder="1" applyAlignment="1">
      <alignment horizontal="center" vertical="center"/>
    </xf>
    <xf numFmtId="0" fontId="9" fillId="0" borderId="0" xfId="2" applyFont="1" applyAlignment="1">
      <alignment horizontal="center" vertical="center" wrapText="1"/>
    </xf>
    <xf numFmtId="49" fontId="8" fillId="0" borderId="0" xfId="2" applyNumberFormat="1" applyFont="1" applyAlignment="1">
      <alignment horizontal="right" vertical="center"/>
    </xf>
    <xf numFmtId="0" fontId="17" fillId="0" borderId="0" xfId="2" applyFont="1" applyAlignment="1">
      <alignment horizontal="left"/>
    </xf>
    <xf numFmtId="0" fontId="8" fillId="0" borderId="0" xfId="2" applyFont="1" applyAlignment="1">
      <alignment horizontal="center" vertical="center" wrapText="1"/>
    </xf>
    <xf numFmtId="0" fontId="8" fillId="11" borderId="33" xfId="2" applyFont="1" applyFill="1" applyBorder="1" applyAlignment="1">
      <alignment horizontal="center" vertical="center"/>
    </xf>
    <xf numFmtId="0" fontId="8" fillId="11" borderId="18" xfId="2" applyFont="1" applyFill="1" applyBorder="1" applyAlignment="1">
      <alignment horizontal="center" vertical="center"/>
    </xf>
    <xf numFmtId="0" fontId="8" fillId="11" borderId="33" xfId="2" applyFont="1" applyFill="1" applyBorder="1" applyAlignment="1">
      <alignment horizontal="center" vertical="center" wrapText="1"/>
    </xf>
    <xf numFmtId="0" fontId="8" fillId="11" borderId="18" xfId="2" applyFont="1" applyFill="1" applyBorder="1" applyAlignment="1">
      <alignment horizontal="center" vertical="center" wrapText="1"/>
    </xf>
    <xf numFmtId="0" fontId="8" fillId="11" borderId="25" xfId="2" applyFont="1" applyFill="1" applyBorder="1" applyAlignment="1">
      <alignment horizontal="center" vertical="center" wrapText="1"/>
    </xf>
  </cellXfs>
  <cellStyles count="5">
    <cellStyle name="Moeda 2" xfId="4"/>
    <cellStyle name="Normal" xfId="0" builtinId="0"/>
    <cellStyle name="Normal 2" xfId="2"/>
    <cellStyle name="Porcentagem" xfId="1" builtinId="5"/>
    <cellStyle name="Vírgula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24</xdr:col>
      <xdr:colOff>0</xdr:colOff>
      <xdr:row>129</xdr:row>
      <xdr:rowOff>0</xdr:rowOff>
    </xdr:from>
    <xdr:to>
      <xdr:col>25</xdr:col>
      <xdr:colOff>409575</xdr:colOff>
      <xdr:row>136</xdr:row>
      <xdr:rowOff>104775</xdr:rowOff>
    </xdr:to>
    <xdr:pic>
      <xdr:nvPicPr>
        <xdr:cNvPr id="6" name="Imagem 5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392400" y="24726900"/>
          <a:ext cx="1019175" cy="14382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419100</xdr:colOff>
      <xdr:row>28</xdr:row>
      <xdr:rowOff>161925</xdr:rowOff>
    </xdr:from>
    <xdr:to>
      <xdr:col>15</xdr:col>
      <xdr:colOff>133350</xdr:colOff>
      <xdr:row>42</xdr:row>
      <xdr:rowOff>9525</xdr:rowOff>
    </xdr:to>
    <xdr:pic>
      <xdr:nvPicPr>
        <xdr:cNvPr id="5" name="Imagem 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72350" y="5591175"/>
          <a:ext cx="3371850" cy="25241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R134"/>
  <sheetViews>
    <sheetView workbookViewId="0">
      <selection activeCell="B186" sqref="B186"/>
    </sheetView>
  </sheetViews>
  <sheetFormatPr defaultRowHeight="15" x14ac:dyDescent="0.25"/>
  <cols>
    <col min="2" max="2" width="14.140625" customWidth="1"/>
    <col min="3" max="3" width="15.5703125" customWidth="1"/>
    <col min="4" max="4" width="10" customWidth="1"/>
    <col min="11" max="11" width="17.28515625" customWidth="1"/>
  </cols>
  <sheetData>
    <row r="1" spans="2:18" x14ac:dyDescent="0.25">
      <c r="B1" s="161" t="s">
        <v>147</v>
      </c>
      <c r="C1" s="161"/>
      <c r="D1" s="161"/>
      <c r="E1" s="161"/>
      <c r="F1" s="161"/>
      <c r="G1" s="161"/>
      <c r="H1" s="161"/>
      <c r="I1" s="161"/>
      <c r="J1" s="161"/>
      <c r="K1" s="161"/>
      <c r="L1" s="161"/>
      <c r="M1" s="161"/>
      <c r="N1" s="161"/>
      <c r="O1" s="161"/>
      <c r="P1" s="161"/>
      <c r="Q1" s="161"/>
      <c r="R1" s="161"/>
    </row>
    <row r="2" spans="2:18" ht="15.75" thickBot="1" x14ac:dyDescent="0.3"/>
    <row r="3" spans="2:18" ht="15.75" thickBot="1" x14ac:dyDescent="0.3">
      <c r="B3" s="52" t="s">
        <v>138</v>
      </c>
      <c r="C3" s="37" t="s">
        <v>6</v>
      </c>
      <c r="D3" s="37"/>
      <c r="E3" s="51"/>
      <c r="F3" s="51"/>
    </row>
    <row r="4" spans="2:18" x14ac:dyDescent="0.25">
      <c r="B4" s="38" t="s">
        <v>139</v>
      </c>
      <c r="C4" s="39">
        <v>122.25276149999998</v>
      </c>
      <c r="D4" s="39"/>
    </row>
    <row r="5" spans="2:18" x14ac:dyDescent="0.25">
      <c r="B5" s="40" t="s">
        <v>140</v>
      </c>
      <c r="C5" s="41">
        <v>26.855118000000004</v>
      </c>
      <c r="D5" s="41"/>
    </row>
    <row r="6" spans="2:18" ht="15.75" thickBot="1" x14ac:dyDescent="0.3">
      <c r="B6" s="42" t="s">
        <v>88</v>
      </c>
      <c r="C6" s="43">
        <v>297.98267691999985</v>
      </c>
      <c r="D6" s="43"/>
    </row>
    <row r="7" spans="2:18" x14ac:dyDescent="0.25">
      <c r="B7" s="44" t="s">
        <v>141</v>
      </c>
      <c r="C7" s="45">
        <f>SUM(C4:C6)</f>
        <v>447.09055641999981</v>
      </c>
      <c r="D7" s="45"/>
      <c r="E7" t="s">
        <v>142</v>
      </c>
    </row>
    <row r="8" spans="2:18" ht="15.75" thickBot="1" x14ac:dyDescent="0.3">
      <c r="B8" s="46" t="s">
        <v>143</v>
      </c>
      <c r="C8" s="47">
        <v>447.45</v>
      </c>
      <c r="D8" s="47"/>
      <c r="E8" t="s">
        <v>144</v>
      </c>
    </row>
    <row r="9" spans="2:18" ht="15.75" thickBot="1" x14ac:dyDescent="0.3">
      <c r="B9" s="48" t="s">
        <v>145</v>
      </c>
      <c r="C9" s="49">
        <v>0.35944358000017473</v>
      </c>
      <c r="D9" s="50">
        <f>C9/C7</f>
        <v>8.0396146784749139E-4</v>
      </c>
      <c r="E9" t="s">
        <v>146</v>
      </c>
    </row>
    <row r="11" spans="2:18" x14ac:dyDescent="0.25">
      <c r="B11" s="54" t="s">
        <v>149</v>
      </c>
      <c r="C11" s="54"/>
      <c r="D11" s="53"/>
    </row>
    <row r="12" spans="2:18" x14ac:dyDescent="0.25">
      <c r="B12" s="51"/>
      <c r="C12" s="51"/>
    </row>
    <row r="13" spans="2:18" x14ac:dyDescent="0.25">
      <c r="B13" s="51"/>
      <c r="C13" s="51"/>
    </row>
    <row r="14" spans="2:18" x14ac:dyDescent="0.25">
      <c r="B14" s="161" t="s">
        <v>148</v>
      </c>
      <c r="C14" s="161"/>
      <c r="D14" s="161"/>
      <c r="E14" s="161"/>
      <c r="F14" s="161"/>
      <c r="G14" s="161"/>
      <c r="H14" s="161"/>
      <c r="I14" s="161"/>
      <c r="J14" s="161"/>
      <c r="K14" s="161"/>
      <c r="L14" s="161"/>
      <c r="M14" s="161"/>
      <c r="N14" s="161"/>
      <c r="O14" s="161"/>
      <c r="P14" s="161"/>
      <c r="Q14" s="161"/>
      <c r="R14" s="161"/>
    </row>
    <row r="15" spans="2:18" ht="15.75" thickBot="1" x14ac:dyDescent="0.3"/>
    <row r="16" spans="2:18" ht="45.75" thickBot="1" x14ac:dyDescent="0.3">
      <c r="B16" s="1" t="s">
        <v>0</v>
      </c>
      <c r="C16" s="2" t="s">
        <v>1</v>
      </c>
      <c r="D16" s="3" t="s">
        <v>2</v>
      </c>
      <c r="E16" s="3" t="s">
        <v>3</v>
      </c>
      <c r="F16" s="3" t="s">
        <v>4</v>
      </c>
      <c r="G16" s="2" t="s">
        <v>5</v>
      </c>
      <c r="H16" s="4" t="s">
        <v>6</v>
      </c>
      <c r="K16" s="21" t="s">
        <v>7</v>
      </c>
      <c r="L16" s="2" t="s">
        <v>1</v>
      </c>
      <c r="M16" s="3" t="s">
        <v>2</v>
      </c>
      <c r="N16" s="3" t="s">
        <v>3</v>
      </c>
      <c r="O16" s="3" t="s">
        <v>4</v>
      </c>
      <c r="P16" s="2" t="s">
        <v>5</v>
      </c>
      <c r="Q16" s="4" t="s">
        <v>6</v>
      </c>
    </row>
    <row r="17" spans="2:18" x14ac:dyDescent="0.25">
      <c r="B17" s="5">
        <v>1</v>
      </c>
      <c r="C17" s="6">
        <v>50.25</v>
      </c>
      <c r="D17" s="7">
        <v>50.25</v>
      </c>
      <c r="E17" s="8">
        <v>245.5</v>
      </c>
      <c r="F17" s="9">
        <v>1.2</v>
      </c>
      <c r="G17" s="10">
        <f t="shared" ref="G17:G22" si="0">(C17+E17+D17)/100</f>
        <v>3.46</v>
      </c>
      <c r="H17" s="11">
        <f t="shared" ref="H17:H22" si="1">G17*F17</f>
        <v>4.1520000000000001</v>
      </c>
      <c r="K17" s="5">
        <v>1</v>
      </c>
      <c r="L17" s="6">
        <v>84.52000000000001</v>
      </c>
      <c r="M17" s="7">
        <v>84.52000000000001</v>
      </c>
      <c r="N17" s="8">
        <v>51</v>
      </c>
      <c r="O17" s="9">
        <v>1</v>
      </c>
      <c r="P17" s="10">
        <f>(L17+N17+M17)/100</f>
        <v>2.2004000000000001</v>
      </c>
      <c r="Q17" s="11">
        <f>P17*O17</f>
        <v>2.2004000000000001</v>
      </c>
    </row>
    <row r="18" spans="2:18" x14ac:dyDescent="0.25">
      <c r="B18" s="12">
        <v>2</v>
      </c>
      <c r="C18" s="13">
        <v>47</v>
      </c>
      <c r="D18" s="8">
        <v>47</v>
      </c>
      <c r="E18" s="8">
        <v>245.5</v>
      </c>
      <c r="F18" s="14">
        <v>1</v>
      </c>
      <c r="G18" s="10">
        <f t="shared" si="0"/>
        <v>3.395</v>
      </c>
      <c r="H18" s="11">
        <f t="shared" si="1"/>
        <v>3.395</v>
      </c>
      <c r="K18" s="12" t="s">
        <v>8</v>
      </c>
      <c r="L18" s="13">
        <v>30.5</v>
      </c>
      <c r="M18" s="8">
        <v>80.38</v>
      </c>
      <c r="N18" s="8">
        <v>20</v>
      </c>
      <c r="O18" s="14">
        <v>10</v>
      </c>
      <c r="P18" s="10"/>
      <c r="Q18" s="11">
        <f>((L18*M18)+(2*N18*O18))/10000</f>
        <v>0.285159</v>
      </c>
    </row>
    <row r="19" spans="2:18" x14ac:dyDescent="0.25">
      <c r="B19" s="12">
        <v>3</v>
      </c>
      <c r="C19" s="13">
        <v>47</v>
      </c>
      <c r="D19" s="8">
        <v>47</v>
      </c>
      <c r="E19" s="8">
        <v>245.5</v>
      </c>
      <c r="F19" s="14">
        <v>1</v>
      </c>
      <c r="G19" s="10">
        <f t="shared" si="0"/>
        <v>3.395</v>
      </c>
      <c r="H19" s="11">
        <f t="shared" si="1"/>
        <v>3.395</v>
      </c>
      <c r="K19" s="12">
        <v>2</v>
      </c>
      <c r="L19" s="13">
        <v>84.52000000000001</v>
      </c>
      <c r="M19" s="8">
        <v>84.52000000000001</v>
      </c>
      <c r="N19" s="8">
        <v>51</v>
      </c>
      <c r="O19" s="14">
        <v>1</v>
      </c>
      <c r="P19" s="10">
        <f>(L19+N19+M19)/100</f>
        <v>2.2004000000000001</v>
      </c>
      <c r="Q19" s="11">
        <f>P19*O19</f>
        <v>2.2004000000000001</v>
      </c>
    </row>
    <row r="20" spans="2:18" ht="15.75" thickBot="1" x14ac:dyDescent="0.3">
      <c r="B20" s="12">
        <v>4</v>
      </c>
      <c r="C20" s="13">
        <v>50.25</v>
      </c>
      <c r="D20" s="8">
        <v>50.25</v>
      </c>
      <c r="E20" s="8">
        <v>245.5</v>
      </c>
      <c r="F20" s="14">
        <v>1.2</v>
      </c>
      <c r="G20" s="10">
        <f t="shared" si="0"/>
        <v>3.46</v>
      </c>
      <c r="H20" s="11">
        <f t="shared" si="1"/>
        <v>4.1520000000000001</v>
      </c>
      <c r="K20" s="15" t="s">
        <v>9</v>
      </c>
      <c r="L20" s="16">
        <v>30.5</v>
      </c>
      <c r="M20" s="17">
        <v>80.38</v>
      </c>
      <c r="N20" s="17">
        <v>20</v>
      </c>
      <c r="O20" s="18">
        <v>10</v>
      </c>
      <c r="P20" s="19"/>
      <c r="Q20" s="20">
        <f>((L20*M20)+(2*N20*O20))/10000</f>
        <v>0.285159</v>
      </c>
    </row>
    <row r="21" spans="2:18" x14ac:dyDescent="0.25">
      <c r="B21" s="12">
        <v>5</v>
      </c>
      <c r="C21" s="13">
        <v>47</v>
      </c>
      <c r="D21" s="8">
        <v>47</v>
      </c>
      <c r="E21" s="8">
        <v>245.5</v>
      </c>
      <c r="F21" s="14">
        <v>1</v>
      </c>
      <c r="G21" s="10">
        <f t="shared" si="0"/>
        <v>3.395</v>
      </c>
      <c r="H21" s="11">
        <f t="shared" si="1"/>
        <v>3.395</v>
      </c>
    </row>
    <row r="22" spans="2:18" ht="15.75" thickBot="1" x14ac:dyDescent="0.3">
      <c r="B22" s="15">
        <v>6</v>
      </c>
      <c r="C22" s="16">
        <v>47</v>
      </c>
      <c r="D22" s="17">
        <v>47</v>
      </c>
      <c r="E22" s="17">
        <v>245.5</v>
      </c>
      <c r="F22" s="18">
        <v>1</v>
      </c>
      <c r="G22" s="19">
        <f t="shared" si="0"/>
        <v>3.395</v>
      </c>
      <c r="H22" s="20">
        <f t="shared" si="1"/>
        <v>3.395</v>
      </c>
    </row>
    <row r="24" spans="2:18" ht="15.75" thickBot="1" x14ac:dyDescent="0.3"/>
    <row r="25" spans="2:18" ht="15.75" thickBot="1" x14ac:dyDescent="0.3">
      <c r="B25" s="1" t="s">
        <v>10</v>
      </c>
      <c r="C25" s="2" t="s">
        <v>1</v>
      </c>
      <c r="D25" s="3" t="s">
        <v>2</v>
      </c>
      <c r="E25" s="3" t="s">
        <v>3</v>
      </c>
      <c r="F25" s="3" t="s">
        <v>11</v>
      </c>
      <c r="G25" s="3" t="s">
        <v>12</v>
      </c>
      <c r="H25" s="2" t="s">
        <v>5</v>
      </c>
      <c r="I25" s="4" t="s">
        <v>6</v>
      </c>
      <c r="K25" s="1" t="s">
        <v>10</v>
      </c>
      <c r="L25" s="2" t="s">
        <v>1</v>
      </c>
      <c r="M25" s="3" t="s">
        <v>2</v>
      </c>
      <c r="N25" s="3" t="s">
        <v>3</v>
      </c>
      <c r="O25" s="3" t="s">
        <v>11</v>
      </c>
      <c r="P25" s="3" t="s">
        <v>12</v>
      </c>
      <c r="Q25" s="2" t="s">
        <v>5</v>
      </c>
      <c r="R25" s="4" t="s">
        <v>6</v>
      </c>
    </row>
    <row r="26" spans="2:18" x14ac:dyDescent="0.25">
      <c r="B26" s="5" t="s">
        <v>13</v>
      </c>
      <c r="C26" s="6">
        <v>0</v>
      </c>
      <c r="D26" s="8">
        <v>26</v>
      </c>
      <c r="E26" s="8">
        <v>40.5</v>
      </c>
      <c r="F26" s="8">
        <v>23</v>
      </c>
      <c r="G26" s="9">
        <v>4</v>
      </c>
      <c r="H26" s="10">
        <f t="shared" ref="H26:H65" si="2">(C26+D26+E26+F26)/100</f>
        <v>0.89500000000000002</v>
      </c>
      <c r="I26" s="11">
        <f t="shared" ref="I26:I65" si="3">H26*G26</f>
        <v>3.58</v>
      </c>
      <c r="K26" s="22" t="s">
        <v>53</v>
      </c>
      <c r="L26" s="6"/>
      <c r="M26" s="8"/>
      <c r="N26" s="8"/>
      <c r="O26" s="8"/>
      <c r="P26" s="14"/>
      <c r="Q26" s="10"/>
      <c r="R26" s="11"/>
    </row>
    <row r="27" spans="2:18" x14ac:dyDescent="0.25">
      <c r="B27" s="12" t="s">
        <v>14</v>
      </c>
      <c r="C27" s="13">
        <v>0</v>
      </c>
      <c r="D27" s="8">
        <v>26</v>
      </c>
      <c r="E27" s="8">
        <v>40.5</v>
      </c>
      <c r="F27" s="8">
        <v>23.5</v>
      </c>
      <c r="G27" s="14">
        <v>4</v>
      </c>
      <c r="H27" s="10">
        <f t="shared" si="2"/>
        <v>0.9</v>
      </c>
      <c r="I27" s="11">
        <f t="shared" si="3"/>
        <v>3.6</v>
      </c>
      <c r="K27" s="12">
        <v>1</v>
      </c>
      <c r="L27" s="13">
        <v>12.3</v>
      </c>
      <c r="M27" s="8"/>
      <c r="N27" s="8"/>
      <c r="O27" s="8"/>
      <c r="P27" s="14">
        <v>1.61</v>
      </c>
      <c r="Q27" s="10">
        <f t="shared" ref="Q27:Q52" si="4">SUM(L27:O27)/100</f>
        <v>0.12300000000000001</v>
      </c>
      <c r="R27" s="11">
        <f t="shared" ref="R27:R52" si="5">P27*Q27</f>
        <v>0.19803000000000004</v>
      </c>
    </row>
    <row r="28" spans="2:18" x14ac:dyDescent="0.25">
      <c r="B28" s="12" t="s">
        <v>15</v>
      </c>
      <c r="C28" s="13">
        <v>0</v>
      </c>
      <c r="D28" s="8">
        <v>26</v>
      </c>
      <c r="E28" s="8">
        <v>23</v>
      </c>
      <c r="F28" s="8">
        <v>23</v>
      </c>
      <c r="G28" s="14">
        <v>4</v>
      </c>
      <c r="H28" s="10">
        <f t="shared" si="2"/>
        <v>0.72</v>
      </c>
      <c r="I28" s="11">
        <f t="shared" si="3"/>
        <v>2.88</v>
      </c>
      <c r="K28" s="12" t="s">
        <v>54</v>
      </c>
      <c r="L28" s="13">
        <v>12.3</v>
      </c>
      <c r="M28" s="8"/>
      <c r="N28" s="8"/>
      <c r="O28" s="8"/>
      <c r="P28" s="14">
        <v>1.61</v>
      </c>
      <c r="Q28" s="10">
        <f t="shared" si="4"/>
        <v>0.12300000000000001</v>
      </c>
      <c r="R28" s="11">
        <f t="shared" si="5"/>
        <v>0.19803000000000004</v>
      </c>
    </row>
    <row r="29" spans="2:18" x14ac:dyDescent="0.25">
      <c r="B29" s="12" t="s">
        <v>16</v>
      </c>
      <c r="C29" s="13">
        <v>0</v>
      </c>
      <c r="D29" s="8">
        <v>26</v>
      </c>
      <c r="E29" s="8">
        <v>23.5</v>
      </c>
      <c r="F29" s="8">
        <v>23.5</v>
      </c>
      <c r="G29" s="14">
        <v>4</v>
      </c>
      <c r="H29" s="10">
        <f t="shared" si="2"/>
        <v>0.73</v>
      </c>
      <c r="I29" s="11">
        <f t="shared" si="3"/>
        <v>2.92</v>
      </c>
      <c r="K29" s="12" t="s">
        <v>55</v>
      </c>
      <c r="L29" s="13">
        <v>12.3</v>
      </c>
      <c r="M29" s="8"/>
      <c r="N29" s="8"/>
      <c r="O29" s="8"/>
      <c r="P29" s="14">
        <v>0.61</v>
      </c>
      <c r="Q29" s="10">
        <f t="shared" si="4"/>
        <v>0.12300000000000001</v>
      </c>
      <c r="R29" s="11">
        <f t="shared" si="5"/>
        <v>7.5029999999999999E-2</v>
      </c>
    </row>
    <row r="30" spans="2:18" x14ac:dyDescent="0.25">
      <c r="B30" s="12" t="s">
        <v>17</v>
      </c>
      <c r="C30" s="13">
        <v>0</v>
      </c>
      <c r="D30" s="8">
        <v>26</v>
      </c>
      <c r="E30" s="8">
        <v>23</v>
      </c>
      <c r="F30" s="8">
        <v>23</v>
      </c>
      <c r="G30" s="14">
        <v>4</v>
      </c>
      <c r="H30" s="10">
        <f t="shared" si="2"/>
        <v>0.72</v>
      </c>
      <c r="I30" s="11">
        <f t="shared" si="3"/>
        <v>2.88</v>
      </c>
      <c r="K30" s="12" t="s">
        <v>56</v>
      </c>
      <c r="L30" s="13">
        <v>12.3</v>
      </c>
      <c r="M30" s="8"/>
      <c r="N30" s="8"/>
      <c r="O30" s="8"/>
      <c r="P30" s="14">
        <v>0.61</v>
      </c>
      <c r="Q30" s="10">
        <f t="shared" si="4"/>
        <v>0.12300000000000001</v>
      </c>
      <c r="R30" s="11">
        <f t="shared" si="5"/>
        <v>7.5029999999999999E-2</v>
      </c>
    </row>
    <row r="31" spans="2:18" x14ac:dyDescent="0.25">
      <c r="B31" s="12" t="s">
        <v>18</v>
      </c>
      <c r="C31" s="13">
        <v>0</v>
      </c>
      <c r="D31" s="8">
        <v>26</v>
      </c>
      <c r="E31" s="8">
        <v>23.5</v>
      </c>
      <c r="F31" s="8">
        <v>23.5</v>
      </c>
      <c r="G31" s="14">
        <v>4</v>
      </c>
      <c r="H31" s="10">
        <f t="shared" si="2"/>
        <v>0.73</v>
      </c>
      <c r="I31" s="11">
        <f t="shared" si="3"/>
        <v>2.92</v>
      </c>
      <c r="K31" s="12" t="s">
        <v>57</v>
      </c>
      <c r="L31" s="13">
        <v>12.3</v>
      </c>
      <c r="M31" s="8"/>
      <c r="N31" s="8"/>
      <c r="O31" s="8"/>
      <c r="P31" s="14">
        <v>1.61</v>
      </c>
      <c r="Q31" s="10">
        <f t="shared" si="4"/>
        <v>0.12300000000000001</v>
      </c>
      <c r="R31" s="11">
        <f t="shared" si="5"/>
        <v>0.19803000000000004</v>
      </c>
    </row>
    <row r="32" spans="2:18" x14ac:dyDescent="0.25">
      <c r="B32" s="12" t="s">
        <v>19</v>
      </c>
      <c r="C32" s="13">
        <v>0</v>
      </c>
      <c r="D32" s="8">
        <v>26</v>
      </c>
      <c r="E32" s="8">
        <v>23</v>
      </c>
      <c r="F32" s="8">
        <v>23</v>
      </c>
      <c r="G32" s="14">
        <v>4</v>
      </c>
      <c r="H32" s="10">
        <f t="shared" si="2"/>
        <v>0.72</v>
      </c>
      <c r="I32" s="11">
        <f t="shared" si="3"/>
        <v>2.88</v>
      </c>
      <c r="K32" s="12">
        <v>4</v>
      </c>
      <c r="L32" s="13">
        <v>12.3</v>
      </c>
      <c r="M32" s="8">
        <v>12.3</v>
      </c>
      <c r="N32" s="8"/>
      <c r="O32" s="8"/>
      <c r="P32" s="14">
        <v>1.61</v>
      </c>
      <c r="Q32" s="10">
        <f t="shared" si="4"/>
        <v>0.24600000000000002</v>
      </c>
      <c r="R32" s="11">
        <f t="shared" si="5"/>
        <v>0.39606000000000008</v>
      </c>
    </row>
    <row r="33" spans="2:18" x14ac:dyDescent="0.25">
      <c r="B33" s="12" t="s">
        <v>20</v>
      </c>
      <c r="C33" s="13">
        <v>0</v>
      </c>
      <c r="D33" s="8">
        <v>26</v>
      </c>
      <c r="E33" s="8">
        <v>23.5</v>
      </c>
      <c r="F33" s="8">
        <v>23.5</v>
      </c>
      <c r="G33" s="14">
        <v>4</v>
      </c>
      <c r="H33" s="10">
        <f t="shared" si="2"/>
        <v>0.73</v>
      </c>
      <c r="I33" s="11">
        <f t="shared" si="3"/>
        <v>2.92</v>
      </c>
      <c r="K33" s="12">
        <v>5</v>
      </c>
      <c r="L33" s="13">
        <v>12.3</v>
      </c>
      <c r="M33" s="8">
        <v>12.3</v>
      </c>
      <c r="N33" s="8"/>
      <c r="O33" s="8"/>
      <c r="P33" s="14">
        <v>1.61</v>
      </c>
      <c r="Q33" s="10">
        <f t="shared" si="4"/>
        <v>0.24600000000000002</v>
      </c>
      <c r="R33" s="11">
        <f t="shared" si="5"/>
        <v>0.39606000000000008</v>
      </c>
    </row>
    <row r="34" spans="2:18" x14ac:dyDescent="0.25">
      <c r="B34" s="12" t="s">
        <v>21</v>
      </c>
      <c r="C34" s="13">
        <v>0</v>
      </c>
      <c r="D34" s="8">
        <v>26</v>
      </c>
      <c r="E34" s="8">
        <v>23</v>
      </c>
      <c r="F34" s="8">
        <v>23</v>
      </c>
      <c r="G34" s="14">
        <v>4</v>
      </c>
      <c r="H34" s="10">
        <f t="shared" si="2"/>
        <v>0.72</v>
      </c>
      <c r="I34" s="11">
        <f t="shared" si="3"/>
        <v>2.88</v>
      </c>
      <c r="K34" s="12">
        <v>6</v>
      </c>
      <c r="L34" s="13">
        <v>12.3</v>
      </c>
      <c r="M34" s="8">
        <v>12.3</v>
      </c>
      <c r="N34" s="8"/>
      <c r="O34" s="8"/>
      <c r="P34" s="14">
        <v>1.61</v>
      </c>
      <c r="Q34" s="10">
        <f t="shared" si="4"/>
        <v>0.24600000000000002</v>
      </c>
      <c r="R34" s="11">
        <f t="shared" si="5"/>
        <v>0.39606000000000008</v>
      </c>
    </row>
    <row r="35" spans="2:18" x14ac:dyDescent="0.25">
      <c r="B35" s="12" t="s">
        <v>22</v>
      </c>
      <c r="C35" s="13">
        <v>0</v>
      </c>
      <c r="D35" s="8">
        <v>26</v>
      </c>
      <c r="E35" s="8">
        <v>23.5</v>
      </c>
      <c r="F35" s="8">
        <v>23.5</v>
      </c>
      <c r="G35" s="14">
        <v>4</v>
      </c>
      <c r="H35" s="10">
        <f t="shared" si="2"/>
        <v>0.73</v>
      </c>
      <c r="I35" s="11">
        <f t="shared" si="3"/>
        <v>2.92</v>
      </c>
      <c r="K35" s="12">
        <v>7</v>
      </c>
      <c r="L35" s="13">
        <v>12.3</v>
      </c>
      <c r="M35" s="8"/>
      <c r="N35" s="8"/>
      <c r="O35" s="8"/>
      <c r="P35" s="14">
        <v>1.61</v>
      </c>
      <c r="Q35" s="10">
        <f t="shared" si="4"/>
        <v>0.12300000000000001</v>
      </c>
      <c r="R35" s="11">
        <f t="shared" si="5"/>
        <v>0.19803000000000004</v>
      </c>
    </row>
    <row r="36" spans="2:18" x14ac:dyDescent="0.25">
      <c r="B36" s="12" t="s">
        <v>23</v>
      </c>
      <c r="C36" s="13">
        <v>0</v>
      </c>
      <c r="D36" s="8">
        <v>26</v>
      </c>
      <c r="E36" s="8">
        <v>23</v>
      </c>
      <c r="F36" s="8">
        <v>23</v>
      </c>
      <c r="G36" s="14">
        <v>4</v>
      </c>
      <c r="H36" s="10">
        <f t="shared" si="2"/>
        <v>0.72</v>
      </c>
      <c r="I36" s="11">
        <f t="shared" si="3"/>
        <v>2.88</v>
      </c>
      <c r="K36" s="12" t="s">
        <v>58</v>
      </c>
      <c r="L36" s="13">
        <v>12</v>
      </c>
      <c r="M36" s="8"/>
      <c r="N36" s="8"/>
      <c r="O36" s="8"/>
      <c r="P36" s="14">
        <v>0.61</v>
      </c>
      <c r="Q36" s="10">
        <f t="shared" si="4"/>
        <v>0.12</v>
      </c>
      <c r="R36" s="11">
        <f t="shared" si="5"/>
        <v>7.3200000000000001E-2</v>
      </c>
    </row>
    <row r="37" spans="2:18" x14ac:dyDescent="0.25">
      <c r="B37" s="12" t="s">
        <v>24</v>
      </c>
      <c r="C37" s="13">
        <v>0</v>
      </c>
      <c r="D37" s="8">
        <v>26</v>
      </c>
      <c r="E37" s="8">
        <v>23.5</v>
      </c>
      <c r="F37" s="8">
        <v>23.5</v>
      </c>
      <c r="G37" s="14">
        <v>4</v>
      </c>
      <c r="H37" s="10">
        <f t="shared" si="2"/>
        <v>0.73</v>
      </c>
      <c r="I37" s="11">
        <f t="shared" si="3"/>
        <v>2.92</v>
      </c>
      <c r="K37" s="12" t="s">
        <v>59</v>
      </c>
      <c r="L37" s="13">
        <v>12</v>
      </c>
      <c r="M37" s="8"/>
      <c r="N37" s="8"/>
      <c r="O37" s="8"/>
      <c r="P37" s="14">
        <v>1.61</v>
      </c>
      <c r="Q37" s="10">
        <f t="shared" si="4"/>
        <v>0.12</v>
      </c>
      <c r="R37" s="11">
        <f t="shared" si="5"/>
        <v>0.19320000000000001</v>
      </c>
    </row>
    <row r="38" spans="2:18" x14ac:dyDescent="0.25">
      <c r="B38" s="12" t="s">
        <v>25</v>
      </c>
      <c r="C38" s="13">
        <v>0</v>
      </c>
      <c r="D38" s="8">
        <v>27.5</v>
      </c>
      <c r="E38" s="8">
        <v>23</v>
      </c>
      <c r="F38" s="8">
        <v>0</v>
      </c>
      <c r="G38" s="14">
        <v>4</v>
      </c>
      <c r="H38" s="10">
        <f t="shared" si="2"/>
        <v>0.505</v>
      </c>
      <c r="I38" s="11">
        <f t="shared" si="3"/>
        <v>2.02</v>
      </c>
      <c r="K38" s="12">
        <v>9</v>
      </c>
      <c r="L38" s="13">
        <v>12</v>
      </c>
      <c r="M38" s="8">
        <v>12</v>
      </c>
      <c r="N38" s="8"/>
      <c r="O38" s="8"/>
      <c r="P38" s="14">
        <v>0.61</v>
      </c>
      <c r="Q38" s="10">
        <f t="shared" si="4"/>
        <v>0.24</v>
      </c>
      <c r="R38" s="11">
        <f t="shared" si="5"/>
        <v>0.1464</v>
      </c>
    </row>
    <row r="39" spans="2:18" x14ac:dyDescent="0.25">
      <c r="B39" s="12" t="s">
        <v>26</v>
      </c>
      <c r="C39" s="13">
        <v>0</v>
      </c>
      <c r="D39" s="8">
        <v>0</v>
      </c>
      <c r="E39" s="8">
        <v>0</v>
      </c>
      <c r="F39" s="8">
        <v>40</v>
      </c>
      <c r="G39" s="14">
        <v>2.73</v>
      </c>
      <c r="H39" s="10">
        <f t="shared" si="2"/>
        <v>0.4</v>
      </c>
      <c r="I39" s="11">
        <f t="shared" si="3"/>
        <v>1.0920000000000001</v>
      </c>
      <c r="K39" s="12">
        <v>10</v>
      </c>
      <c r="L39" s="13">
        <v>12</v>
      </c>
      <c r="M39" s="8">
        <v>12</v>
      </c>
      <c r="N39" s="8"/>
      <c r="O39" s="8"/>
      <c r="P39" s="14">
        <v>0.61</v>
      </c>
      <c r="Q39" s="10">
        <f t="shared" si="4"/>
        <v>0.24</v>
      </c>
      <c r="R39" s="11">
        <f t="shared" si="5"/>
        <v>0.1464</v>
      </c>
    </row>
    <row r="40" spans="2:18" x14ac:dyDescent="0.25">
      <c r="B40" s="12" t="s">
        <v>27</v>
      </c>
      <c r="C40" s="13">
        <v>0</v>
      </c>
      <c r="D40" s="8">
        <v>26</v>
      </c>
      <c r="E40" s="8">
        <v>23.5</v>
      </c>
      <c r="F40" s="8">
        <v>40.5</v>
      </c>
      <c r="G40" s="14">
        <v>4</v>
      </c>
      <c r="H40" s="10">
        <f t="shared" si="2"/>
        <v>0.9</v>
      </c>
      <c r="I40" s="11">
        <f t="shared" si="3"/>
        <v>3.6</v>
      </c>
      <c r="K40" s="12" t="s">
        <v>60</v>
      </c>
      <c r="L40" s="13">
        <v>12</v>
      </c>
      <c r="M40" s="8"/>
      <c r="N40" s="8"/>
      <c r="O40" s="8"/>
      <c r="P40" s="14">
        <v>0.61</v>
      </c>
      <c r="Q40" s="10">
        <f t="shared" ref="Q40:Q41" si="6">SUM(L40:O40)/100</f>
        <v>0.12</v>
      </c>
      <c r="R40" s="11">
        <f t="shared" si="5"/>
        <v>7.3200000000000001E-2</v>
      </c>
    </row>
    <row r="41" spans="2:18" x14ac:dyDescent="0.25">
      <c r="B41" s="12" t="s">
        <v>28</v>
      </c>
      <c r="C41" s="13">
        <v>0</v>
      </c>
      <c r="D41" s="8">
        <v>25</v>
      </c>
      <c r="E41" s="8">
        <v>14</v>
      </c>
      <c r="F41" s="8">
        <v>40.5</v>
      </c>
      <c r="G41" s="14">
        <v>6.1950000000000003</v>
      </c>
      <c r="H41" s="10">
        <f t="shared" si="2"/>
        <v>0.79500000000000004</v>
      </c>
      <c r="I41" s="11">
        <f t="shared" si="3"/>
        <v>4.9250250000000007</v>
      </c>
      <c r="K41" s="12" t="s">
        <v>61</v>
      </c>
      <c r="L41" s="13">
        <v>12</v>
      </c>
      <c r="M41" s="8"/>
      <c r="N41" s="8"/>
      <c r="O41" s="8"/>
      <c r="P41" s="14">
        <v>1.61</v>
      </c>
      <c r="Q41" s="10">
        <f t="shared" si="6"/>
        <v>0.12</v>
      </c>
      <c r="R41" s="11">
        <f t="shared" si="5"/>
        <v>0.19320000000000001</v>
      </c>
    </row>
    <row r="42" spans="2:18" x14ac:dyDescent="0.25">
      <c r="B42" s="12" t="s">
        <v>29</v>
      </c>
      <c r="C42" s="13">
        <v>0</v>
      </c>
      <c r="D42" s="8">
        <v>28</v>
      </c>
      <c r="E42" s="8">
        <v>0</v>
      </c>
      <c r="F42" s="8">
        <v>0</v>
      </c>
      <c r="G42" s="14">
        <v>6.19</v>
      </c>
      <c r="H42" s="10">
        <f t="shared" si="2"/>
        <v>0.28000000000000003</v>
      </c>
      <c r="I42" s="11">
        <f t="shared" si="3"/>
        <v>1.7332000000000003</v>
      </c>
      <c r="K42" s="12">
        <v>12</v>
      </c>
      <c r="L42" s="13">
        <v>12.3</v>
      </c>
      <c r="M42" s="8"/>
      <c r="N42" s="8"/>
      <c r="O42" s="8"/>
      <c r="P42" s="14">
        <v>1.61</v>
      </c>
      <c r="Q42" s="10">
        <f t="shared" si="4"/>
        <v>0.12300000000000001</v>
      </c>
      <c r="R42" s="11">
        <f t="shared" si="5"/>
        <v>0.19803000000000004</v>
      </c>
    </row>
    <row r="43" spans="2:18" x14ac:dyDescent="0.25">
      <c r="B43" s="12" t="s">
        <v>30</v>
      </c>
      <c r="C43" s="13">
        <v>0</v>
      </c>
      <c r="D43" s="8">
        <v>0</v>
      </c>
      <c r="E43" s="8">
        <v>0</v>
      </c>
      <c r="F43" s="8">
        <v>40.5</v>
      </c>
      <c r="G43" s="14">
        <v>1.415</v>
      </c>
      <c r="H43" s="10">
        <f t="shared" si="2"/>
        <v>0.40500000000000003</v>
      </c>
      <c r="I43" s="11">
        <f t="shared" si="3"/>
        <v>0.573075</v>
      </c>
      <c r="K43" s="12" t="s">
        <v>62</v>
      </c>
      <c r="L43" s="13">
        <v>12.3</v>
      </c>
      <c r="M43" s="8"/>
      <c r="N43" s="8"/>
      <c r="O43" s="8"/>
      <c r="P43" s="14">
        <v>0.61</v>
      </c>
      <c r="Q43" s="10">
        <f t="shared" si="4"/>
        <v>0.12300000000000001</v>
      </c>
      <c r="R43" s="11">
        <f t="shared" si="5"/>
        <v>7.5029999999999999E-2</v>
      </c>
    </row>
    <row r="44" spans="2:18" x14ac:dyDescent="0.25">
      <c r="B44" s="12" t="s">
        <v>31</v>
      </c>
      <c r="C44" s="13">
        <v>0</v>
      </c>
      <c r="D44" s="8">
        <v>26</v>
      </c>
      <c r="E44" s="8">
        <v>17.5</v>
      </c>
      <c r="F44" s="8">
        <v>17.5</v>
      </c>
      <c r="G44" s="14">
        <v>6.19</v>
      </c>
      <c r="H44" s="10">
        <f t="shared" si="2"/>
        <v>0.61</v>
      </c>
      <c r="I44" s="11">
        <f t="shared" si="3"/>
        <v>3.7759</v>
      </c>
      <c r="K44" s="12" t="s">
        <v>63</v>
      </c>
      <c r="L44" s="13">
        <v>12.3</v>
      </c>
      <c r="M44" s="8"/>
      <c r="N44" s="8"/>
      <c r="O44" s="8"/>
      <c r="P44" s="14">
        <v>1.61</v>
      </c>
      <c r="Q44" s="10">
        <f t="shared" si="4"/>
        <v>0.12300000000000001</v>
      </c>
      <c r="R44" s="11">
        <f t="shared" si="5"/>
        <v>0.19803000000000004</v>
      </c>
    </row>
    <row r="45" spans="2:18" x14ac:dyDescent="0.25">
      <c r="B45" s="12" t="s">
        <v>32</v>
      </c>
      <c r="C45" s="13">
        <v>0</v>
      </c>
      <c r="D45" s="8">
        <v>26</v>
      </c>
      <c r="E45" s="8">
        <v>15</v>
      </c>
      <c r="F45" s="8">
        <v>15</v>
      </c>
      <c r="G45" s="14">
        <v>3.1821999999999999</v>
      </c>
      <c r="H45" s="10">
        <f t="shared" si="2"/>
        <v>0.56000000000000005</v>
      </c>
      <c r="I45" s="11">
        <f t="shared" si="3"/>
        <v>1.7820320000000001</v>
      </c>
      <c r="K45" s="12" t="s">
        <v>64</v>
      </c>
      <c r="L45" s="13">
        <v>12.3</v>
      </c>
      <c r="M45" s="8"/>
      <c r="N45" s="8"/>
      <c r="O45" s="8"/>
      <c r="P45" s="14">
        <v>0.61</v>
      </c>
      <c r="Q45" s="10">
        <f t="shared" si="4"/>
        <v>0.12300000000000001</v>
      </c>
      <c r="R45" s="11">
        <f t="shared" si="5"/>
        <v>7.5029999999999999E-2</v>
      </c>
    </row>
    <row r="46" spans="2:18" x14ac:dyDescent="0.25">
      <c r="B46" s="12" t="s">
        <v>33</v>
      </c>
      <c r="C46" s="13">
        <v>0</v>
      </c>
      <c r="D46" s="8">
        <v>26</v>
      </c>
      <c r="E46" s="8">
        <v>17.5</v>
      </c>
      <c r="F46" s="8">
        <v>17.5</v>
      </c>
      <c r="G46" s="14">
        <v>6.19</v>
      </c>
      <c r="H46" s="10">
        <f t="shared" si="2"/>
        <v>0.61</v>
      </c>
      <c r="I46" s="11">
        <f t="shared" si="3"/>
        <v>3.7759</v>
      </c>
      <c r="K46" s="12" t="s">
        <v>65</v>
      </c>
      <c r="L46" s="13">
        <v>12.3</v>
      </c>
      <c r="M46" s="8"/>
      <c r="N46" s="8"/>
      <c r="O46" s="8"/>
      <c r="P46" s="14">
        <v>1.61</v>
      </c>
      <c r="Q46" s="10">
        <f t="shared" si="4"/>
        <v>0.12300000000000001</v>
      </c>
      <c r="R46" s="11">
        <f t="shared" si="5"/>
        <v>0.19803000000000004</v>
      </c>
    </row>
    <row r="47" spans="2:18" x14ac:dyDescent="0.25">
      <c r="B47" s="12" t="s">
        <v>34</v>
      </c>
      <c r="C47" s="13">
        <v>0</v>
      </c>
      <c r="D47" s="8">
        <v>26</v>
      </c>
      <c r="E47" s="8">
        <v>15</v>
      </c>
      <c r="F47" s="8">
        <v>15</v>
      </c>
      <c r="G47" s="14">
        <v>3.1821999999999999</v>
      </c>
      <c r="H47" s="10">
        <f t="shared" si="2"/>
        <v>0.56000000000000005</v>
      </c>
      <c r="I47" s="11">
        <f t="shared" si="3"/>
        <v>1.7820320000000001</v>
      </c>
      <c r="K47" s="12">
        <v>15</v>
      </c>
      <c r="L47" s="13">
        <v>12.3</v>
      </c>
      <c r="M47" s="8"/>
      <c r="N47" s="8"/>
      <c r="O47" s="8"/>
      <c r="P47" s="14">
        <v>1.61</v>
      </c>
      <c r="Q47" s="10">
        <f t="shared" si="4"/>
        <v>0.12300000000000001</v>
      </c>
      <c r="R47" s="11">
        <f t="shared" si="5"/>
        <v>0.19803000000000004</v>
      </c>
    </row>
    <row r="48" spans="2:18" x14ac:dyDescent="0.25">
      <c r="B48" s="12" t="s">
        <v>35</v>
      </c>
      <c r="C48" s="13">
        <v>0</v>
      </c>
      <c r="D48" s="8">
        <v>28</v>
      </c>
      <c r="E48" s="8">
        <v>0</v>
      </c>
      <c r="F48" s="8">
        <v>0</v>
      </c>
      <c r="G48" s="14">
        <v>6.19</v>
      </c>
      <c r="H48" s="10">
        <f t="shared" si="2"/>
        <v>0.28000000000000003</v>
      </c>
      <c r="I48" s="11">
        <f t="shared" si="3"/>
        <v>1.7332000000000003</v>
      </c>
      <c r="K48" s="12" t="s">
        <v>66</v>
      </c>
      <c r="L48" s="13">
        <v>12.3</v>
      </c>
      <c r="M48" s="8"/>
      <c r="N48" s="8"/>
      <c r="O48" s="8"/>
      <c r="P48" s="14">
        <v>0.61</v>
      </c>
      <c r="Q48" s="10">
        <f t="shared" ref="Q48:Q51" si="7">SUM(L48:O48)/100</f>
        <v>0.12300000000000001</v>
      </c>
      <c r="R48" s="11">
        <f t="shared" si="5"/>
        <v>7.5029999999999999E-2</v>
      </c>
    </row>
    <row r="49" spans="2:18" x14ac:dyDescent="0.25">
      <c r="B49" s="12" t="s">
        <v>36</v>
      </c>
      <c r="C49" s="13">
        <v>0</v>
      </c>
      <c r="D49" s="8">
        <v>0</v>
      </c>
      <c r="E49" s="8">
        <v>0</v>
      </c>
      <c r="F49" s="8">
        <v>40.5</v>
      </c>
      <c r="G49" s="14">
        <v>1.4145000000000001</v>
      </c>
      <c r="H49" s="10">
        <f t="shared" si="2"/>
        <v>0.40500000000000003</v>
      </c>
      <c r="I49" s="11">
        <f t="shared" si="3"/>
        <v>0.57287250000000012</v>
      </c>
      <c r="K49" s="12" t="s">
        <v>67</v>
      </c>
      <c r="L49" s="13">
        <v>12.3</v>
      </c>
      <c r="M49" s="8"/>
      <c r="N49" s="8"/>
      <c r="O49" s="8"/>
      <c r="P49" s="14">
        <v>1.61</v>
      </c>
      <c r="Q49" s="10">
        <f t="shared" si="7"/>
        <v>0.12300000000000001</v>
      </c>
      <c r="R49" s="11">
        <f t="shared" si="5"/>
        <v>0.19803000000000004</v>
      </c>
    </row>
    <row r="50" spans="2:18" x14ac:dyDescent="0.25">
      <c r="B50" s="12" t="s">
        <v>37</v>
      </c>
      <c r="C50" s="13">
        <v>0</v>
      </c>
      <c r="D50" s="8">
        <v>26</v>
      </c>
      <c r="E50" s="8">
        <v>40.5</v>
      </c>
      <c r="F50" s="8">
        <v>14</v>
      </c>
      <c r="G50" s="14">
        <v>6.1950000000000003</v>
      </c>
      <c r="H50" s="10">
        <f t="shared" si="2"/>
        <v>0.80500000000000005</v>
      </c>
      <c r="I50" s="11">
        <f t="shared" si="3"/>
        <v>4.9869750000000002</v>
      </c>
      <c r="K50" s="12" t="s">
        <v>68</v>
      </c>
      <c r="L50" s="13">
        <v>12.3</v>
      </c>
      <c r="M50" s="8"/>
      <c r="N50" s="8"/>
      <c r="O50" s="8"/>
      <c r="P50" s="14">
        <v>0.61</v>
      </c>
      <c r="Q50" s="10">
        <f t="shared" si="7"/>
        <v>0.12300000000000001</v>
      </c>
      <c r="R50" s="11">
        <f t="shared" si="5"/>
        <v>7.5029999999999999E-2</v>
      </c>
    </row>
    <row r="51" spans="2:18" x14ac:dyDescent="0.25">
      <c r="B51" s="12" t="s">
        <v>38</v>
      </c>
      <c r="C51" s="13">
        <v>0</v>
      </c>
      <c r="D51" s="8">
        <v>27</v>
      </c>
      <c r="E51" s="8">
        <v>23.5</v>
      </c>
      <c r="F51" s="8">
        <v>40.5</v>
      </c>
      <c r="G51" s="14">
        <v>4</v>
      </c>
      <c r="H51" s="10">
        <f t="shared" si="2"/>
        <v>0.91</v>
      </c>
      <c r="I51" s="11">
        <f t="shared" si="3"/>
        <v>3.64</v>
      </c>
      <c r="K51" s="12" t="s">
        <v>69</v>
      </c>
      <c r="L51" s="13">
        <v>12.3</v>
      </c>
      <c r="M51" s="8"/>
      <c r="N51" s="8"/>
      <c r="O51" s="8"/>
      <c r="P51" s="14">
        <v>1.61</v>
      </c>
      <c r="Q51" s="10">
        <f t="shared" si="7"/>
        <v>0.12300000000000001</v>
      </c>
      <c r="R51" s="11">
        <f t="shared" si="5"/>
        <v>0.19803000000000004</v>
      </c>
    </row>
    <row r="52" spans="2:18" x14ac:dyDescent="0.25">
      <c r="B52" s="12" t="s">
        <v>39</v>
      </c>
      <c r="C52" s="13">
        <v>0</v>
      </c>
      <c r="D52" s="8">
        <v>0</v>
      </c>
      <c r="E52" s="8">
        <v>0</v>
      </c>
      <c r="F52" s="8">
        <v>40</v>
      </c>
      <c r="G52" s="14">
        <v>2.73</v>
      </c>
      <c r="H52" s="10">
        <f t="shared" si="2"/>
        <v>0.4</v>
      </c>
      <c r="I52" s="11">
        <f t="shared" si="3"/>
        <v>1.0920000000000001</v>
      </c>
      <c r="K52" s="12">
        <v>18</v>
      </c>
      <c r="L52" s="13">
        <v>12.3</v>
      </c>
      <c r="M52" s="8"/>
      <c r="N52" s="8"/>
      <c r="O52" s="8"/>
      <c r="P52" s="14">
        <v>1.61</v>
      </c>
      <c r="Q52" s="10">
        <f t="shared" si="4"/>
        <v>0.12300000000000001</v>
      </c>
      <c r="R52" s="11">
        <f t="shared" si="5"/>
        <v>0.19803000000000004</v>
      </c>
    </row>
    <row r="53" spans="2:18" x14ac:dyDescent="0.25">
      <c r="B53" s="12" t="s">
        <v>40</v>
      </c>
      <c r="C53" s="13">
        <v>0</v>
      </c>
      <c r="D53" s="8">
        <v>27.5</v>
      </c>
      <c r="E53" s="8">
        <v>23</v>
      </c>
      <c r="F53" s="8">
        <v>0</v>
      </c>
      <c r="G53" s="14">
        <v>4</v>
      </c>
      <c r="H53" s="10">
        <f>(C53+D53+E53+F53)/100</f>
        <v>0.505</v>
      </c>
      <c r="I53" s="11">
        <f>H53*G53</f>
        <v>2.02</v>
      </c>
      <c r="K53" s="12"/>
      <c r="L53" s="13"/>
      <c r="M53" s="8"/>
      <c r="N53" s="8"/>
      <c r="O53" s="8"/>
      <c r="P53" s="14"/>
      <c r="Q53" s="10"/>
      <c r="R53" s="11"/>
    </row>
    <row r="54" spans="2:18" x14ac:dyDescent="0.25">
      <c r="B54" s="12" t="s">
        <v>41</v>
      </c>
      <c r="C54" s="13">
        <v>0</v>
      </c>
      <c r="D54" s="8">
        <v>26</v>
      </c>
      <c r="E54" s="8">
        <v>23.5</v>
      </c>
      <c r="F54" s="8">
        <v>23.5</v>
      </c>
      <c r="G54" s="14">
        <v>4</v>
      </c>
      <c r="H54" s="10">
        <f t="shared" si="2"/>
        <v>0.73</v>
      </c>
      <c r="I54" s="11">
        <f t="shared" si="3"/>
        <v>2.92</v>
      </c>
      <c r="K54" s="22" t="s">
        <v>70</v>
      </c>
      <c r="L54" s="13"/>
      <c r="M54" s="8"/>
      <c r="N54" s="8"/>
      <c r="O54" s="8"/>
      <c r="P54" s="14"/>
      <c r="Q54" s="10"/>
      <c r="R54" s="11"/>
    </row>
    <row r="55" spans="2:18" x14ac:dyDescent="0.25">
      <c r="B55" s="12" t="s">
        <v>42</v>
      </c>
      <c r="C55" s="13">
        <v>0</v>
      </c>
      <c r="D55" s="8">
        <v>26</v>
      </c>
      <c r="E55" s="8">
        <v>23</v>
      </c>
      <c r="F55" s="8">
        <v>23</v>
      </c>
      <c r="G55" s="14">
        <v>4</v>
      </c>
      <c r="H55" s="10">
        <f t="shared" si="2"/>
        <v>0.72</v>
      </c>
      <c r="I55" s="11">
        <f t="shared" si="3"/>
        <v>2.88</v>
      </c>
      <c r="K55" s="12">
        <v>1</v>
      </c>
      <c r="L55" s="13">
        <v>12.3</v>
      </c>
      <c r="M55" s="8"/>
      <c r="N55" s="8"/>
      <c r="O55" s="8"/>
      <c r="P55" s="14">
        <v>0.61</v>
      </c>
      <c r="Q55" s="10">
        <f>SUM(L55:O55)/100</f>
        <v>0.12300000000000001</v>
      </c>
      <c r="R55" s="11">
        <f>P55*Q55</f>
        <v>7.5029999999999999E-2</v>
      </c>
    </row>
    <row r="56" spans="2:18" x14ac:dyDescent="0.25">
      <c r="B56" s="12" t="s">
        <v>43</v>
      </c>
      <c r="C56" s="13">
        <v>0</v>
      </c>
      <c r="D56" s="8">
        <v>26</v>
      </c>
      <c r="E56" s="8">
        <v>23.5</v>
      </c>
      <c r="F56" s="8">
        <v>23.5</v>
      </c>
      <c r="G56" s="14">
        <v>4</v>
      </c>
      <c r="H56" s="10">
        <f t="shared" si="2"/>
        <v>0.73</v>
      </c>
      <c r="I56" s="11">
        <f t="shared" si="3"/>
        <v>2.92</v>
      </c>
      <c r="K56" s="12" t="s">
        <v>71</v>
      </c>
      <c r="L56" s="13">
        <v>12.3</v>
      </c>
      <c r="M56" s="8"/>
      <c r="N56" s="8"/>
      <c r="O56" s="8"/>
      <c r="P56" s="14">
        <v>0.61</v>
      </c>
      <c r="Q56" s="10">
        <f t="shared" ref="Q56:Q77" si="8">SUM(L56:O56)/100</f>
        <v>0.12300000000000001</v>
      </c>
      <c r="R56" s="11">
        <f t="shared" ref="R56:R72" si="9">P56*Q56</f>
        <v>7.5029999999999999E-2</v>
      </c>
    </row>
    <row r="57" spans="2:18" x14ac:dyDescent="0.25">
      <c r="B57" s="12" t="s">
        <v>44</v>
      </c>
      <c r="C57" s="13">
        <v>0</v>
      </c>
      <c r="D57" s="8">
        <v>26</v>
      </c>
      <c r="E57" s="8">
        <v>23</v>
      </c>
      <c r="F57" s="8">
        <v>23</v>
      </c>
      <c r="G57" s="14">
        <v>4</v>
      </c>
      <c r="H57" s="10">
        <f t="shared" si="2"/>
        <v>0.72</v>
      </c>
      <c r="I57" s="11">
        <f t="shared" si="3"/>
        <v>2.88</v>
      </c>
      <c r="K57" s="12" t="s">
        <v>72</v>
      </c>
      <c r="L57" s="13">
        <v>12.3</v>
      </c>
      <c r="M57" s="8"/>
      <c r="N57" s="8"/>
      <c r="O57" s="8"/>
      <c r="P57" s="14">
        <v>1.61</v>
      </c>
      <c r="Q57" s="10">
        <f t="shared" si="8"/>
        <v>0.12300000000000001</v>
      </c>
      <c r="R57" s="11">
        <f t="shared" si="9"/>
        <v>0.19803000000000004</v>
      </c>
    </row>
    <row r="58" spans="2:18" x14ac:dyDescent="0.25">
      <c r="B58" s="12" t="s">
        <v>45</v>
      </c>
      <c r="C58" s="13">
        <v>0</v>
      </c>
      <c r="D58" s="8">
        <v>26</v>
      </c>
      <c r="E58" s="8">
        <v>23.5</v>
      </c>
      <c r="F58" s="8">
        <v>23.5</v>
      </c>
      <c r="G58" s="14">
        <v>4</v>
      </c>
      <c r="H58" s="10">
        <f t="shared" si="2"/>
        <v>0.73</v>
      </c>
      <c r="I58" s="11">
        <f t="shared" si="3"/>
        <v>2.92</v>
      </c>
      <c r="K58" s="12">
        <v>3</v>
      </c>
      <c r="L58" s="13">
        <v>12.3</v>
      </c>
      <c r="M58" s="8">
        <v>12.3</v>
      </c>
      <c r="N58" s="8"/>
      <c r="O58" s="8"/>
      <c r="P58" s="14">
        <v>1.61</v>
      </c>
      <c r="Q58" s="10">
        <f t="shared" si="8"/>
        <v>0.24600000000000002</v>
      </c>
      <c r="R58" s="11">
        <f t="shared" si="9"/>
        <v>0.39606000000000008</v>
      </c>
    </row>
    <row r="59" spans="2:18" x14ac:dyDescent="0.25">
      <c r="B59" s="12" t="s">
        <v>46</v>
      </c>
      <c r="C59" s="13">
        <v>0</v>
      </c>
      <c r="D59" s="8">
        <v>26</v>
      </c>
      <c r="E59" s="8">
        <v>23</v>
      </c>
      <c r="F59" s="8">
        <v>23</v>
      </c>
      <c r="G59" s="14">
        <v>4</v>
      </c>
      <c r="H59" s="10">
        <f t="shared" si="2"/>
        <v>0.72</v>
      </c>
      <c r="I59" s="11">
        <f t="shared" si="3"/>
        <v>2.88</v>
      </c>
      <c r="K59" s="12">
        <v>4</v>
      </c>
      <c r="L59" s="13">
        <v>12.3</v>
      </c>
      <c r="M59" s="8">
        <v>12.3</v>
      </c>
      <c r="N59" s="8"/>
      <c r="O59" s="8"/>
      <c r="P59" s="14">
        <v>1.61</v>
      </c>
      <c r="Q59" s="10">
        <f t="shared" si="8"/>
        <v>0.24600000000000002</v>
      </c>
      <c r="R59" s="11">
        <f t="shared" si="9"/>
        <v>0.39606000000000008</v>
      </c>
    </row>
    <row r="60" spans="2:18" x14ac:dyDescent="0.25">
      <c r="B60" s="12" t="s">
        <v>47</v>
      </c>
      <c r="C60" s="13">
        <v>0</v>
      </c>
      <c r="D60" s="8">
        <v>26</v>
      </c>
      <c r="E60" s="8">
        <v>23.5</v>
      </c>
      <c r="F60" s="8">
        <v>23.5</v>
      </c>
      <c r="G60" s="14">
        <v>4</v>
      </c>
      <c r="H60" s="10">
        <f t="shared" si="2"/>
        <v>0.73</v>
      </c>
      <c r="I60" s="11">
        <f t="shared" si="3"/>
        <v>2.92</v>
      </c>
      <c r="K60" s="12">
        <v>5</v>
      </c>
      <c r="L60" s="13">
        <v>12.3</v>
      </c>
      <c r="M60" s="8">
        <v>12.3</v>
      </c>
      <c r="N60" s="8"/>
      <c r="O60" s="8"/>
      <c r="P60" s="14">
        <v>1.61</v>
      </c>
      <c r="Q60" s="10">
        <f t="shared" si="8"/>
        <v>0.24600000000000002</v>
      </c>
      <c r="R60" s="11">
        <f t="shared" si="9"/>
        <v>0.39606000000000008</v>
      </c>
    </row>
    <row r="61" spans="2:18" x14ac:dyDescent="0.25">
      <c r="B61" s="12" t="s">
        <v>48</v>
      </c>
      <c r="C61" s="13">
        <v>0</v>
      </c>
      <c r="D61" s="8">
        <v>26</v>
      </c>
      <c r="E61" s="8">
        <v>23</v>
      </c>
      <c r="F61" s="8">
        <v>23</v>
      </c>
      <c r="G61" s="14">
        <v>4</v>
      </c>
      <c r="H61" s="10">
        <f t="shared" si="2"/>
        <v>0.72</v>
      </c>
      <c r="I61" s="11">
        <f t="shared" si="3"/>
        <v>2.88</v>
      </c>
      <c r="K61" s="12" t="s">
        <v>73</v>
      </c>
      <c r="L61" s="13">
        <v>12.3</v>
      </c>
      <c r="M61" s="8"/>
      <c r="N61" s="8"/>
      <c r="O61" s="8"/>
      <c r="P61" s="14">
        <v>0.61</v>
      </c>
      <c r="Q61" s="10">
        <f t="shared" si="8"/>
        <v>0.12300000000000001</v>
      </c>
      <c r="R61" s="11">
        <f t="shared" si="9"/>
        <v>7.5029999999999999E-2</v>
      </c>
    </row>
    <row r="62" spans="2:18" x14ac:dyDescent="0.25">
      <c r="B62" s="12" t="s">
        <v>49</v>
      </c>
      <c r="C62" s="13">
        <v>0</v>
      </c>
      <c r="D62" s="8">
        <v>26</v>
      </c>
      <c r="E62" s="8">
        <v>23.5</v>
      </c>
      <c r="F62" s="8">
        <v>23.5</v>
      </c>
      <c r="G62" s="14">
        <v>4</v>
      </c>
      <c r="H62" s="10">
        <f t="shared" si="2"/>
        <v>0.73</v>
      </c>
      <c r="I62" s="11">
        <f t="shared" si="3"/>
        <v>2.92</v>
      </c>
      <c r="K62" s="12" t="s">
        <v>74</v>
      </c>
      <c r="L62" s="13">
        <v>12.3</v>
      </c>
      <c r="M62" s="8"/>
      <c r="N62" s="8"/>
      <c r="O62" s="8"/>
      <c r="P62" s="14">
        <v>1.61</v>
      </c>
      <c r="Q62" s="10">
        <f t="shared" si="8"/>
        <v>0.12300000000000001</v>
      </c>
      <c r="R62" s="11">
        <f t="shared" si="9"/>
        <v>0.19803000000000004</v>
      </c>
    </row>
    <row r="63" spans="2:18" x14ac:dyDescent="0.25">
      <c r="B63" s="12" t="s">
        <v>50</v>
      </c>
      <c r="C63" s="13">
        <v>0</v>
      </c>
      <c r="D63" s="8">
        <v>26</v>
      </c>
      <c r="E63" s="8">
        <v>40.5</v>
      </c>
      <c r="F63" s="8">
        <v>23.5</v>
      </c>
      <c r="G63" s="14">
        <v>4</v>
      </c>
      <c r="H63" s="10">
        <f t="shared" si="2"/>
        <v>0.9</v>
      </c>
      <c r="I63" s="11">
        <f t="shared" si="3"/>
        <v>3.6</v>
      </c>
      <c r="K63" s="12">
        <v>7</v>
      </c>
      <c r="L63" s="13">
        <v>12.3</v>
      </c>
      <c r="M63" s="8"/>
      <c r="N63" s="8"/>
      <c r="O63" s="8"/>
      <c r="P63" s="14">
        <v>0.61</v>
      </c>
      <c r="Q63" s="10">
        <f t="shared" si="8"/>
        <v>0.12300000000000001</v>
      </c>
      <c r="R63" s="11">
        <f t="shared" si="9"/>
        <v>7.5029999999999999E-2</v>
      </c>
    </row>
    <row r="64" spans="2:18" x14ac:dyDescent="0.25">
      <c r="B64" s="12" t="s">
        <v>51</v>
      </c>
      <c r="C64" s="13">
        <v>0</v>
      </c>
      <c r="D64" s="8">
        <v>26</v>
      </c>
      <c r="E64" s="8">
        <v>23.5</v>
      </c>
      <c r="F64" s="8">
        <v>40.5</v>
      </c>
      <c r="G64" s="14">
        <v>4</v>
      </c>
      <c r="H64" s="10">
        <f t="shared" si="2"/>
        <v>0.9</v>
      </c>
      <c r="I64" s="11">
        <f t="shared" si="3"/>
        <v>3.6</v>
      </c>
      <c r="K64" s="12" t="s">
        <v>75</v>
      </c>
      <c r="L64" s="13">
        <v>19.5</v>
      </c>
      <c r="M64" s="8"/>
      <c r="N64" s="8"/>
      <c r="O64" s="8"/>
      <c r="P64" s="14">
        <v>0.61</v>
      </c>
      <c r="Q64" s="10">
        <f t="shared" si="8"/>
        <v>0.19500000000000001</v>
      </c>
      <c r="R64" s="11">
        <f t="shared" si="9"/>
        <v>0.11895</v>
      </c>
    </row>
    <row r="65" spans="2:18" ht="15.75" thickBot="1" x14ac:dyDescent="0.3">
      <c r="B65" s="15" t="s">
        <v>52</v>
      </c>
      <c r="C65" s="16">
        <v>0</v>
      </c>
      <c r="D65" s="17">
        <v>26</v>
      </c>
      <c r="E65" s="17">
        <v>40.5</v>
      </c>
      <c r="F65" s="17">
        <v>23.5</v>
      </c>
      <c r="G65" s="18">
        <v>4</v>
      </c>
      <c r="H65" s="19">
        <f t="shared" si="2"/>
        <v>0.9</v>
      </c>
      <c r="I65" s="20">
        <f t="shared" si="3"/>
        <v>3.6</v>
      </c>
      <c r="K65" s="12" t="s">
        <v>76</v>
      </c>
      <c r="L65" s="13">
        <v>12</v>
      </c>
      <c r="M65" s="8"/>
      <c r="N65" s="8"/>
      <c r="O65" s="8"/>
      <c r="P65" s="14">
        <v>0.61</v>
      </c>
      <c r="Q65" s="10">
        <f t="shared" si="8"/>
        <v>0.12</v>
      </c>
      <c r="R65" s="11">
        <f t="shared" si="9"/>
        <v>7.3200000000000001E-2</v>
      </c>
    </row>
    <row r="66" spans="2:18" x14ac:dyDescent="0.25">
      <c r="K66" s="12" t="s">
        <v>77</v>
      </c>
      <c r="L66" s="13">
        <v>12.25</v>
      </c>
      <c r="M66" s="8"/>
      <c r="N66" s="8"/>
      <c r="O66" s="8"/>
      <c r="P66" s="14">
        <v>0.61</v>
      </c>
      <c r="Q66" s="10">
        <f t="shared" si="8"/>
        <v>0.1225</v>
      </c>
      <c r="R66" s="11">
        <f t="shared" si="9"/>
        <v>7.4725E-2</v>
      </c>
    </row>
    <row r="67" spans="2:18" x14ac:dyDescent="0.25">
      <c r="K67" s="12" t="s">
        <v>78</v>
      </c>
      <c r="L67" s="13">
        <v>12.25</v>
      </c>
      <c r="M67" s="8"/>
      <c r="N67" s="8"/>
      <c r="O67" s="8"/>
      <c r="P67" s="14">
        <v>0.61</v>
      </c>
      <c r="Q67" s="10">
        <f t="shared" si="8"/>
        <v>0.1225</v>
      </c>
      <c r="R67" s="11">
        <f t="shared" si="9"/>
        <v>7.4725E-2</v>
      </c>
    </row>
    <row r="68" spans="2:18" x14ac:dyDescent="0.25">
      <c r="K68" s="12" t="s">
        <v>79</v>
      </c>
      <c r="L68" s="13">
        <v>12.25</v>
      </c>
      <c r="M68" s="8"/>
      <c r="N68" s="8"/>
      <c r="O68" s="8"/>
      <c r="P68" s="14">
        <v>0.61</v>
      </c>
      <c r="Q68" s="10">
        <f t="shared" si="8"/>
        <v>0.1225</v>
      </c>
      <c r="R68" s="11">
        <f t="shared" si="9"/>
        <v>7.4725E-2</v>
      </c>
    </row>
    <row r="69" spans="2:18" x14ac:dyDescent="0.25">
      <c r="K69" s="12" t="s">
        <v>80</v>
      </c>
      <c r="L69" s="13">
        <v>12.25</v>
      </c>
      <c r="M69" s="8"/>
      <c r="N69" s="8"/>
      <c r="O69" s="8"/>
      <c r="P69" s="14">
        <v>2.68</v>
      </c>
      <c r="Q69" s="10">
        <f t="shared" si="8"/>
        <v>0.1225</v>
      </c>
      <c r="R69" s="11">
        <f t="shared" si="9"/>
        <v>0.32830000000000004</v>
      </c>
    </row>
    <row r="70" spans="2:18" x14ac:dyDescent="0.25">
      <c r="K70" s="12" t="s">
        <v>81</v>
      </c>
      <c r="L70" s="13">
        <v>12.25</v>
      </c>
      <c r="M70" s="8"/>
      <c r="N70" s="8"/>
      <c r="O70" s="8"/>
      <c r="P70" s="14">
        <v>0.61</v>
      </c>
      <c r="Q70" s="10">
        <f t="shared" si="8"/>
        <v>0.1225</v>
      </c>
      <c r="R70" s="11">
        <f t="shared" si="9"/>
        <v>7.4725E-2</v>
      </c>
    </row>
    <row r="71" spans="2:18" x14ac:dyDescent="0.25">
      <c r="K71" s="12" t="s">
        <v>82</v>
      </c>
      <c r="L71" s="13">
        <v>12.25</v>
      </c>
      <c r="M71" s="8"/>
      <c r="N71" s="8"/>
      <c r="O71" s="8"/>
      <c r="P71" s="14">
        <v>0.61</v>
      </c>
      <c r="Q71" s="10">
        <f t="shared" si="8"/>
        <v>0.1225</v>
      </c>
      <c r="R71" s="11">
        <f t="shared" si="9"/>
        <v>7.4725E-2</v>
      </c>
    </row>
    <row r="72" spans="2:18" x14ac:dyDescent="0.25">
      <c r="K72" s="12" t="s">
        <v>83</v>
      </c>
      <c r="L72" s="13">
        <v>12.25</v>
      </c>
      <c r="M72" s="8"/>
      <c r="N72" s="8"/>
      <c r="O72" s="8"/>
      <c r="P72" s="14">
        <v>0.61</v>
      </c>
      <c r="Q72" s="10">
        <f t="shared" si="8"/>
        <v>0.1225</v>
      </c>
      <c r="R72" s="11">
        <f t="shared" si="9"/>
        <v>7.4725E-2</v>
      </c>
    </row>
    <row r="73" spans="2:18" x14ac:dyDescent="0.25">
      <c r="K73" s="12" t="s">
        <v>84</v>
      </c>
      <c r="L73" s="13">
        <v>12.25</v>
      </c>
      <c r="M73" s="8"/>
      <c r="N73" s="8"/>
      <c r="O73" s="8"/>
      <c r="P73" s="14">
        <v>2.68</v>
      </c>
      <c r="Q73" s="10">
        <f t="shared" si="8"/>
        <v>0.1225</v>
      </c>
      <c r="R73" s="11">
        <f>P73*Q73</f>
        <v>0.32830000000000004</v>
      </c>
    </row>
    <row r="74" spans="2:18" x14ac:dyDescent="0.25">
      <c r="K74" s="12" t="s">
        <v>85</v>
      </c>
      <c r="L74" s="13">
        <v>12</v>
      </c>
      <c r="M74" s="8"/>
      <c r="N74" s="8"/>
      <c r="O74" s="8"/>
      <c r="P74" s="14">
        <v>0.61</v>
      </c>
      <c r="Q74" s="10">
        <f t="shared" si="8"/>
        <v>0.12</v>
      </c>
      <c r="R74" s="11">
        <f t="shared" ref="R74:R84" si="10">P74*Q74</f>
        <v>7.3200000000000001E-2</v>
      </c>
    </row>
    <row r="75" spans="2:18" x14ac:dyDescent="0.25">
      <c r="K75" s="12" t="s">
        <v>86</v>
      </c>
      <c r="L75" s="13">
        <v>12</v>
      </c>
      <c r="M75" s="8"/>
      <c r="N75" s="8"/>
      <c r="O75" s="8"/>
      <c r="P75" s="14">
        <v>0.61</v>
      </c>
      <c r="Q75" s="10">
        <f t="shared" si="8"/>
        <v>0.12</v>
      </c>
      <c r="R75" s="11">
        <f t="shared" si="10"/>
        <v>7.3200000000000001E-2</v>
      </c>
    </row>
    <row r="76" spans="2:18" x14ac:dyDescent="0.25">
      <c r="K76" s="12">
        <v>12</v>
      </c>
      <c r="L76" s="13">
        <v>12</v>
      </c>
      <c r="M76" s="8"/>
      <c r="N76" s="8"/>
      <c r="O76" s="8"/>
      <c r="P76" s="14">
        <v>1.61</v>
      </c>
      <c r="Q76" s="10">
        <f t="shared" si="8"/>
        <v>0.12</v>
      </c>
      <c r="R76" s="11">
        <f t="shared" si="10"/>
        <v>0.19320000000000001</v>
      </c>
    </row>
    <row r="77" spans="2:18" x14ac:dyDescent="0.25">
      <c r="K77" s="12">
        <v>13</v>
      </c>
      <c r="L77" s="13">
        <v>12</v>
      </c>
      <c r="M77" s="8">
        <v>12</v>
      </c>
      <c r="N77" s="8"/>
      <c r="O77" s="8"/>
      <c r="P77" s="14">
        <v>1.61</v>
      </c>
      <c r="Q77" s="10">
        <f t="shared" si="8"/>
        <v>0.24</v>
      </c>
      <c r="R77" s="11">
        <f t="shared" si="10"/>
        <v>0.38640000000000002</v>
      </c>
    </row>
    <row r="78" spans="2:18" x14ac:dyDescent="0.25">
      <c r="K78" s="12">
        <v>14</v>
      </c>
      <c r="L78" s="13">
        <v>12</v>
      </c>
      <c r="M78" s="8">
        <v>12</v>
      </c>
      <c r="N78" s="8"/>
      <c r="O78" s="8"/>
      <c r="P78" s="14">
        <v>1.61</v>
      </c>
      <c r="Q78" s="10">
        <f t="shared" ref="Q78:Q79" si="11">SUM(L78:O78)/100</f>
        <v>0.24</v>
      </c>
      <c r="R78" s="11">
        <f t="shared" si="10"/>
        <v>0.38640000000000002</v>
      </c>
    </row>
    <row r="79" spans="2:18" x14ac:dyDescent="0.25">
      <c r="K79" s="12">
        <v>15</v>
      </c>
      <c r="L79" s="13">
        <v>12</v>
      </c>
      <c r="M79" s="8">
        <v>12</v>
      </c>
      <c r="N79" s="8"/>
      <c r="O79" s="8"/>
      <c r="P79" s="14">
        <v>1.61</v>
      </c>
      <c r="Q79" s="10">
        <f t="shared" si="11"/>
        <v>0.24</v>
      </c>
      <c r="R79" s="11">
        <f t="shared" si="10"/>
        <v>0.38640000000000002</v>
      </c>
    </row>
    <row r="80" spans="2:18" x14ac:dyDescent="0.25">
      <c r="K80" s="12" t="s">
        <v>66</v>
      </c>
      <c r="L80" s="13">
        <v>12</v>
      </c>
      <c r="M80" s="8"/>
      <c r="N80" s="8"/>
      <c r="O80" s="8"/>
      <c r="P80" s="14">
        <v>1.61</v>
      </c>
      <c r="Q80" s="10">
        <f t="shared" ref="Q80:Q81" si="12">SUM(L80:O80)/100</f>
        <v>0.12</v>
      </c>
      <c r="R80" s="11">
        <f t="shared" si="10"/>
        <v>0.19320000000000001</v>
      </c>
    </row>
    <row r="81" spans="2:18" x14ac:dyDescent="0.25">
      <c r="K81" s="12" t="s">
        <v>67</v>
      </c>
      <c r="L81" s="13">
        <v>12</v>
      </c>
      <c r="M81" s="8"/>
      <c r="N81" s="8"/>
      <c r="O81" s="8"/>
      <c r="P81" s="14">
        <v>0.61</v>
      </c>
      <c r="Q81" s="10">
        <f t="shared" si="12"/>
        <v>0.12</v>
      </c>
      <c r="R81" s="11">
        <f t="shared" si="10"/>
        <v>7.3200000000000001E-2</v>
      </c>
    </row>
    <row r="82" spans="2:18" x14ac:dyDescent="0.25">
      <c r="K82" s="12" t="s">
        <v>68</v>
      </c>
      <c r="L82" s="13">
        <v>12</v>
      </c>
      <c r="M82" s="8"/>
      <c r="N82" s="8"/>
      <c r="O82" s="8"/>
      <c r="P82" s="14">
        <v>0.61</v>
      </c>
      <c r="Q82" s="10">
        <f t="shared" ref="Q82:Q84" si="13">SUM(L82:O82)/100</f>
        <v>0.12</v>
      </c>
      <c r="R82" s="11">
        <f t="shared" si="10"/>
        <v>7.3200000000000001E-2</v>
      </c>
    </row>
    <row r="83" spans="2:18" x14ac:dyDescent="0.25">
      <c r="K83" s="12" t="s">
        <v>69</v>
      </c>
      <c r="L83" s="13">
        <v>12</v>
      </c>
      <c r="M83" s="8"/>
      <c r="N83" s="8"/>
      <c r="O83" s="8"/>
      <c r="P83" s="14">
        <v>1.61</v>
      </c>
      <c r="Q83" s="10">
        <f t="shared" si="13"/>
        <v>0.12</v>
      </c>
      <c r="R83" s="11">
        <f t="shared" si="10"/>
        <v>0.19320000000000001</v>
      </c>
    </row>
    <row r="84" spans="2:18" x14ac:dyDescent="0.25">
      <c r="K84" s="12">
        <v>18</v>
      </c>
      <c r="L84" s="13">
        <v>12</v>
      </c>
      <c r="M84" s="8"/>
      <c r="N84" s="8"/>
      <c r="O84" s="8"/>
      <c r="P84" s="14">
        <v>1.61</v>
      </c>
      <c r="Q84" s="10">
        <f t="shared" si="13"/>
        <v>0.12</v>
      </c>
      <c r="R84" s="11">
        <f t="shared" si="10"/>
        <v>0.19320000000000001</v>
      </c>
    </row>
    <row r="85" spans="2:18" ht="15.75" thickBot="1" x14ac:dyDescent="0.3">
      <c r="K85" s="15"/>
      <c r="L85" s="16"/>
      <c r="M85" s="17"/>
      <c r="N85" s="17"/>
      <c r="O85" s="17"/>
      <c r="P85" s="18"/>
      <c r="Q85" s="19"/>
      <c r="R85" s="20"/>
    </row>
    <row r="89" spans="2:18" ht="15.75" thickBot="1" x14ac:dyDescent="0.3">
      <c r="B89" s="23" t="s">
        <v>87</v>
      </c>
      <c r="C89" s="23"/>
      <c r="D89" s="23"/>
      <c r="E89" s="23"/>
      <c r="F89" s="23"/>
      <c r="G89" s="23"/>
      <c r="H89" s="23"/>
      <c r="I89" s="23"/>
      <c r="K89" s="23" t="s">
        <v>111</v>
      </c>
      <c r="L89" s="23"/>
      <c r="M89" s="23"/>
      <c r="N89" s="23"/>
      <c r="O89" s="23"/>
      <c r="P89" s="23"/>
      <c r="Q89" s="23"/>
      <c r="R89" s="23"/>
    </row>
    <row r="90" spans="2:18" ht="15.75" thickBot="1" x14ac:dyDescent="0.3">
      <c r="B90" s="1" t="s">
        <v>88</v>
      </c>
      <c r="C90" s="2" t="s">
        <v>1</v>
      </c>
      <c r="D90" s="3" t="s">
        <v>2</v>
      </c>
      <c r="E90" s="3" t="s">
        <v>3</v>
      </c>
      <c r="F90" s="3" t="s">
        <v>11</v>
      </c>
      <c r="G90" s="3" t="s">
        <v>4</v>
      </c>
      <c r="H90" s="2" t="s">
        <v>5</v>
      </c>
      <c r="I90" s="4" t="s">
        <v>6</v>
      </c>
      <c r="K90" s="1" t="s">
        <v>88</v>
      </c>
      <c r="L90" s="2" t="s">
        <v>1</v>
      </c>
      <c r="M90" s="3" t="s">
        <v>2</v>
      </c>
      <c r="N90" s="3" t="s">
        <v>3</v>
      </c>
      <c r="O90" s="3" t="s">
        <v>11</v>
      </c>
      <c r="P90" s="3" t="s">
        <v>4</v>
      </c>
      <c r="Q90" s="2" t="s">
        <v>5</v>
      </c>
      <c r="R90" s="4" t="s">
        <v>6</v>
      </c>
    </row>
    <row r="91" spans="2:18" x14ac:dyDescent="0.25">
      <c r="B91" s="24" t="s">
        <v>89</v>
      </c>
      <c r="C91" s="25"/>
      <c r="D91" s="26"/>
      <c r="E91" s="26"/>
      <c r="F91" s="26"/>
      <c r="G91" s="27"/>
      <c r="H91" s="28"/>
      <c r="I91" s="29"/>
      <c r="K91" s="24" t="s">
        <v>107</v>
      </c>
      <c r="L91" s="25"/>
      <c r="M91" s="26"/>
      <c r="N91" s="26"/>
      <c r="O91" s="26"/>
      <c r="P91" s="27"/>
      <c r="Q91" s="28"/>
      <c r="R91" s="29"/>
    </row>
    <row r="92" spans="2:18" x14ac:dyDescent="0.25">
      <c r="B92" s="30" t="s">
        <v>90</v>
      </c>
      <c r="C92" s="13">
        <v>43.8</v>
      </c>
      <c r="D92" s="8">
        <v>21</v>
      </c>
      <c r="E92" s="8"/>
      <c r="F92" s="8"/>
      <c r="G92" s="14"/>
      <c r="H92" s="10"/>
      <c r="I92" s="11">
        <f>C92*D92/10000</f>
        <v>9.1979999999999992E-2</v>
      </c>
      <c r="K92" s="30" t="s">
        <v>75</v>
      </c>
      <c r="L92" s="13"/>
      <c r="M92" s="8"/>
      <c r="N92" s="8"/>
      <c r="O92" s="8">
        <v>40</v>
      </c>
      <c r="P92" s="14">
        <v>0.21</v>
      </c>
      <c r="Q92" s="10">
        <f t="shared" ref="Q92:Q99" si="14">(L92+M92+N92+O92)/100</f>
        <v>0.4</v>
      </c>
      <c r="R92" s="11">
        <f t="shared" ref="R92:R99" si="15">Q92*P92</f>
        <v>8.4000000000000005E-2</v>
      </c>
    </row>
    <row r="93" spans="2:18" x14ac:dyDescent="0.25">
      <c r="B93" s="30" t="s">
        <v>91</v>
      </c>
      <c r="C93" s="13"/>
      <c r="D93" s="8">
        <v>21</v>
      </c>
      <c r="E93" s="8">
        <v>43.8</v>
      </c>
      <c r="F93" s="8">
        <v>43.8</v>
      </c>
      <c r="G93" s="14">
        <v>1.2</v>
      </c>
      <c r="H93" s="10">
        <f>(E93+D93+F93)/100</f>
        <v>1.0859999999999999</v>
      </c>
      <c r="I93" s="11">
        <f>H93*G93</f>
        <v>1.3031999999999997</v>
      </c>
      <c r="K93" s="30" t="s">
        <v>76</v>
      </c>
      <c r="L93" s="13"/>
      <c r="M93" s="8"/>
      <c r="N93" s="8"/>
      <c r="O93" s="8">
        <f>(86.17+62.02)/2</f>
        <v>74.094999999999999</v>
      </c>
      <c r="P93" s="14">
        <v>4.7</v>
      </c>
      <c r="Q93" s="10">
        <f t="shared" si="14"/>
        <v>0.74095</v>
      </c>
      <c r="R93" s="11">
        <f t="shared" si="15"/>
        <v>3.4824649999999999</v>
      </c>
    </row>
    <row r="94" spans="2:18" x14ac:dyDescent="0.25">
      <c r="B94" s="30" t="s">
        <v>92</v>
      </c>
      <c r="C94" s="13"/>
      <c r="D94" s="8">
        <v>23.5</v>
      </c>
      <c r="E94" s="8">
        <v>83.8</v>
      </c>
      <c r="F94" s="8"/>
      <c r="G94" s="14">
        <v>36.125999999999998</v>
      </c>
      <c r="H94" s="10">
        <f>(E94+D94)/100</f>
        <v>1.073</v>
      </c>
      <c r="I94" s="11">
        <f>H94*G94</f>
        <v>38.763197999999996</v>
      </c>
      <c r="K94" s="30" t="s">
        <v>112</v>
      </c>
      <c r="L94" s="13"/>
      <c r="M94" s="8"/>
      <c r="N94" s="8"/>
      <c r="O94" s="8">
        <v>15</v>
      </c>
      <c r="P94" s="14">
        <v>2.4550000000000001</v>
      </c>
      <c r="Q94" s="10">
        <f t="shared" si="14"/>
        <v>0.15</v>
      </c>
      <c r="R94" s="11">
        <f t="shared" si="15"/>
        <v>0.36825000000000002</v>
      </c>
    </row>
    <row r="95" spans="2:18" x14ac:dyDescent="0.25">
      <c r="B95" s="30" t="s">
        <v>93</v>
      </c>
      <c r="C95" s="13"/>
      <c r="D95" s="8">
        <v>23.5</v>
      </c>
      <c r="E95" s="8">
        <v>83.8</v>
      </c>
      <c r="F95" s="8"/>
      <c r="G95" s="14">
        <v>36.125999999999998</v>
      </c>
      <c r="H95" s="10">
        <f>(E95+D95)/100</f>
        <v>1.073</v>
      </c>
      <c r="I95" s="11">
        <f>H95*G95</f>
        <v>38.763197999999996</v>
      </c>
      <c r="K95" s="30" t="s">
        <v>113</v>
      </c>
      <c r="L95" s="13"/>
      <c r="M95" s="8"/>
      <c r="N95" s="8"/>
      <c r="O95" s="8">
        <f>(62.02+81.03)/2</f>
        <v>71.525000000000006</v>
      </c>
      <c r="P95" s="14">
        <v>4.7149999999999999</v>
      </c>
      <c r="Q95" s="10">
        <f t="shared" si="14"/>
        <v>0.71525000000000005</v>
      </c>
      <c r="R95" s="11">
        <f t="shared" si="15"/>
        <v>3.3724037500000001</v>
      </c>
    </row>
    <row r="96" spans="2:18" x14ac:dyDescent="0.25">
      <c r="B96" s="30" t="s">
        <v>94</v>
      </c>
      <c r="C96" s="13"/>
      <c r="D96" s="8">
        <v>21</v>
      </c>
      <c r="E96" s="8">
        <v>43.8</v>
      </c>
      <c r="F96" s="8">
        <v>40</v>
      </c>
      <c r="G96" s="14">
        <v>1.2</v>
      </c>
      <c r="H96" s="10">
        <f>(E96+D96)/100</f>
        <v>0.64800000000000002</v>
      </c>
      <c r="I96" s="11">
        <f>H96*G96</f>
        <v>0.77759999999999996</v>
      </c>
      <c r="K96" s="30" t="s">
        <v>114</v>
      </c>
      <c r="L96" s="13"/>
      <c r="M96" s="8"/>
      <c r="N96" s="8"/>
      <c r="O96" s="8">
        <f>(62.02+80.96)/2</f>
        <v>71.489999999999995</v>
      </c>
      <c r="P96" s="14">
        <v>4.7149999999999999</v>
      </c>
      <c r="Q96" s="10">
        <f t="shared" si="14"/>
        <v>0.71489999999999998</v>
      </c>
      <c r="R96" s="11">
        <f t="shared" si="15"/>
        <v>3.3707534999999997</v>
      </c>
    </row>
    <row r="97" spans="2:18" x14ac:dyDescent="0.25">
      <c r="B97" s="30" t="s">
        <v>95</v>
      </c>
      <c r="C97" s="13">
        <v>43.8</v>
      </c>
      <c r="D97" s="8">
        <v>21</v>
      </c>
      <c r="E97" s="8"/>
      <c r="F97" s="8"/>
      <c r="G97" s="14"/>
      <c r="H97" s="10"/>
      <c r="I97" s="11">
        <f>C97*D97/10000</f>
        <v>9.1979999999999992E-2</v>
      </c>
      <c r="K97" s="30" t="s">
        <v>115</v>
      </c>
      <c r="L97" s="13"/>
      <c r="M97" s="8"/>
      <c r="N97" s="8"/>
      <c r="O97" s="8">
        <v>15</v>
      </c>
      <c r="P97" s="14">
        <v>2.4550000000000001</v>
      </c>
      <c r="Q97" s="10">
        <f t="shared" si="14"/>
        <v>0.15</v>
      </c>
      <c r="R97" s="11">
        <f t="shared" si="15"/>
        <v>0.36825000000000002</v>
      </c>
    </row>
    <row r="98" spans="2:18" x14ac:dyDescent="0.25">
      <c r="B98" s="30"/>
      <c r="C98" s="13"/>
      <c r="D98" s="8"/>
      <c r="E98" s="8"/>
      <c r="F98" s="8"/>
      <c r="G98" s="14"/>
      <c r="H98" s="10"/>
      <c r="I98" s="11"/>
      <c r="K98" s="30" t="s">
        <v>116</v>
      </c>
      <c r="L98" s="13"/>
      <c r="M98" s="8"/>
      <c r="N98" s="8"/>
      <c r="O98" s="8">
        <f>(61.94+81.23)/2</f>
        <v>71.585000000000008</v>
      </c>
      <c r="P98" s="14">
        <v>4.7539999999999996</v>
      </c>
      <c r="Q98" s="10">
        <f t="shared" si="14"/>
        <v>0.7158500000000001</v>
      </c>
      <c r="R98" s="11">
        <f t="shared" si="15"/>
        <v>3.4031509</v>
      </c>
    </row>
    <row r="99" spans="2:18" x14ac:dyDescent="0.25">
      <c r="B99" s="30" t="s">
        <v>96</v>
      </c>
      <c r="C99" s="13"/>
      <c r="D99" s="8">
        <v>20</v>
      </c>
      <c r="E99" s="8">
        <v>32.5</v>
      </c>
      <c r="F99" s="8"/>
      <c r="G99" s="14">
        <v>4.1317000000000004</v>
      </c>
      <c r="H99" s="10">
        <f t="shared" ref="H99:H101" si="16">(E99+D99)/100</f>
        <v>0.52500000000000002</v>
      </c>
      <c r="I99" s="11">
        <f t="shared" ref="I99:I101" si="17">H99*G99</f>
        <v>2.1691425000000004</v>
      </c>
      <c r="K99" s="30" t="s">
        <v>117</v>
      </c>
      <c r="L99" s="13"/>
      <c r="M99" s="8"/>
      <c r="N99" s="8"/>
      <c r="O99" s="8">
        <v>40</v>
      </c>
      <c r="P99" s="14">
        <v>0.21</v>
      </c>
      <c r="Q99" s="10">
        <f t="shared" si="14"/>
        <v>0.4</v>
      </c>
      <c r="R99" s="11">
        <f t="shared" si="15"/>
        <v>8.4000000000000005E-2</v>
      </c>
    </row>
    <row r="100" spans="2:18" x14ac:dyDescent="0.25">
      <c r="B100" s="30" t="s">
        <v>97</v>
      </c>
      <c r="C100" s="13"/>
      <c r="D100" s="8">
        <v>20</v>
      </c>
      <c r="E100" s="8">
        <v>32.5</v>
      </c>
      <c r="F100" s="8"/>
      <c r="G100" s="14">
        <v>4.1550000000000002</v>
      </c>
      <c r="H100" s="10">
        <f t="shared" si="16"/>
        <v>0.52500000000000002</v>
      </c>
      <c r="I100" s="11">
        <f t="shared" si="17"/>
        <v>2.1813750000000001</v>
      </c>
      <c r="K100" s="30"/>
      <c r="L100" s="13"/>
      <c r="M100" s="8"/>
      <c r="N100" s="8"/>
      <c r="O100" s="8"/>
      <c r="P100" s="14"/>
      <c r="Q100" s="10"/>
      <c r="R100" s="11"/>
    </row>
    <row r="101" spans="2:18" x14ac:dyDescent="0.25">
      <c r="B101" s="30" t="s">
        <v>98</v>
      </c>
      <c r="C101" s="13"/>
      <c r="D101" s="8">
        <v>20</v>
      </c>
      <c r="E101" s="8">
        <v>32.5</v>
      </c>
      <c r="F101" s="8"/>
      <c r="G101" s="14">
        <v>4.1383000000000001</v>
      </c>
      <c r="H101" s="10">
        <f t="shared" si="16"/>
        <v>0.52500000000000002</v>
      </c>
      <c r="I101" s="11">
        <f t="shared" si="17"/>
        <v>2.1726075000000002</v>
      </c>
      <c r="K101" s="30" t="s">
        <v>85</v>
      </c>
      <c r="L101" s="13"/>
      <c r="M101" s="8"/>
      <c r="N101" s="8"/>
      <c r="O101" s="8">
        <v>40</v>
      </c>
      <c r="P101" s="14">
        <v>0.21</v>
      </c>
      <c r="Q101" s="10">
        <f t="shared" ref="Q101:Q108" si="18">(L101+M101+N101+O101)/100</f>
        <v>0.4</v>
      </c>
      <c r="R101" s="11">
        <f t="shared" ref="R101:R108" si="19">Q101*P101</f>
        <v>8.4000000000000005E-2</v>
      </c>
    </row>
    <row r="102" spans="2:18" x14ac:dyDescent="0.25">
      <c r="B102" s="30"/>
      <c r="C102" s="13"/>
      <c r="D102" s="8"/>
      <c r="E102" s="8"/>
      <c r="F102" s="8"/>
      <c r="G102" s="14"/>
      <c r="H102" s="10"/>
      <c r="I102" s="11"/>
      <c r="K102" s="30" t="s">
        <v>86</v>
      </c>
      <c r="L102" s="13"/>
      <c r="M102" s="8"/>
      <c r="N102" s="8"/>
      <c r="O102" s="8">
        <f>(86.17+62.02)/2</f>
        <v>74.094999999999999</v>
      </c>
      <c r="P102" s="14">
        <v>4.7</v>
      </c>
      <c r="Q102" s="10">
        <f t="shared" si="18"/>
        <v>0.74095</v>
      </c>
      <c r="R102" s="11">
        <f t="shared" si="19"/>
        <v>3.4824649999999999</v>
      </c>
    </row>
    <row r="103" spans="2:18" x14ac:dyDescent="0.25">
      <c r="B103" s="30" t="s">
        <v>99</v>
      </c>
      <c r="C103" s="13">
        <v>43.8</v>
      </c>
      <c r="D103" s="8">
        <v>21</v>
      </c>
      <c r="E103" s="8"/>
      <c r="F103" s="8"/>
      <c r="G103" s="14"/>
      <c r="H103" s="10"/>
      <c r="I103" s="11">
        <f>C103*D103/10000</f>
        <v>9.1979999999999992E-2</v>
      </c>
      <c r="K103" s="30" t="s">
        <v>118</v>
      </c>
      <c r="L103" s="13"/>
      <c r="M103" s="8"/>
      <c r="N103" s="8"/>
      <c r="O103" s="8">
        <v>15</v>
      </c>
      <c r="P103" s="14">
        <v>2.4550000000000001</v>
      </c>
      <c r="Q103" s="10">
        <f t="shared" si="18"/>
        <v>0.15</v>
      </c>
      <c r="R103" s="11">
        <f t="shared" si="19"/>
        <v>0.36825000000000002</v>
      </c>
    </row>
    <row r="104" spans="2:18" x14ac:dyDescent="0.25">
      <c r="B104" s="30" t="s">
        <v>100</v>
      </c>
      <c r="C104" s="13"/>
      <c r="D104" s="8">
        <v>21</v>
      </c>
      <c r="E104" s="8">
        <v>43.8</v>
      </c>
      <c r="F104" s="8">
        <v>43.8</v>
      </c>
      <c r="G104" s="14">
        <v>1.2</v>
      </c>
      <c r="H104" s="10">
        <f>(E104+D104+F104)/100</f>
        <v>1.0859999999999999</v>
      </c>
      <c r="I104" s="11">
        <f>H104*G104</f>
        <v>1.3031999999999997</v>
      </c>
      <c r="K104" s="30" t="s">
        <v>119</v>
      </c>
      <c r="L104" s="13"/>
      <c r="M104" s="8"/>
      <c r="N104" s="8"/>
      <c r="O104" s="8">
        <f>(62.02+81.03)/2</f>
        <v>71.525000000000006</v>
      </c>
      <c r="P104" s="14">
        <v>4.7149999999999999</v>
      </c>
      <c r="Q104" s="10">
        <f t="shared" si="18"/>
        <v>0.71525000000000005</v>
      </c>
      <c r="R104" s="11">
        <f t="shared" si="19"/>
        <v>3.3724037500000001</v>
      </c>
    </row>
    <row r="105" spans="2:18" x14ac:dyDescent="0.25">
      <c r="B105" s="30" t="s">
        <v>101</v>
      </c>
      <c r="C105" s="13"/>
      <c r="D105" s="8">
        <v>23.5</v>
      </c>
      <c r="E105" s="8">
        <v>83.8</v>
      </c>
      <c r="F105" s="8"/>
      <c r="G105" s="14">
        <v>36.128500000000003</v>
      </c>
      <c r="H105" s="10">
        <f>(E105+D105)/100</f>
        <v>1.073</v>
      </c>
      <c r="I105" s="11">
        <f>H105*G105</f>
        <v>38.765880500000002</v>
      </c>
      <c r="K105" s="30" t="s">
        <v>120</v>
      </c>
      <c r="L105" s="13"/>
      <c r="M105" s="8"/>
      <c r="N105" s="8"/>
      <c r="O105" s="8">
        <f>(62.02+80.96)/2</f>
        <v>71.489999999999995</v>
      </c>
      <c r="P105" s="14">
        <v>4.7149999999999999</v>
      </c>
      <c r="Q105" s="10">
        <f t="shared" si="18"/>
        <v>0.71489999999999998</v>
      </c>
      <c r="R105" s="11">
        <f t="shared" si="19"/>
        <v>3.3707534999999997</v>
      </c>
    </row>
    <row r="106" spans="2:18" x14ac:dyDescent="0.25">
      <c r="B106" s="30" t="s">
        <v>102</v>
      </c>
      <c r="C106" s="13"/>
      <c r="D106" s="8">
        <v>23.5</v>
      </c>
      <c r="E106" s="8">
        <v>83.8</v>
      </c>
      <c r="F106" s="8"/>
      <c r="G106" s="14">
        <v>36.131</v>
      </c>
      <c r="H106" s="10">
        <f>(E106+D106)/100</f>
        <v>1.073</v>
      </c>
      <c r="I106" s="11">
        <f>H106*G106</f>
        <v>38.768563</v>
      </c>
      <c r="K106" s="30" t="s">
        <v>121</v>
      </c>
      <c r="L106" s="13"/>
      <c r="M106" s="8"/>
      <c r="N106" s="8"/>
      <c r="O106" s="8">
        <v>15</v>
      </c>
      <c r="P106" s="14">
        <v>2.4550000000000001</v>
      </c>
      <c r="Q106" s="10">
        <f t="shared" si="18"/>
        <v>0.15</v>
      </c>
      <c r="R106" s="11">
        <f t="shared" si="19"/>
        <v>0.36825000000000002</v>
      </c>
    </row>
    <row r="107" spans="2:18" x14ac:dyDescent="0.25">
      <c r="B107" s="30" t="s">
        <v>103</v>
      </c>
      <c r="C107" s="13"/>
      <c r="D107" s="8">
        <v>21</v>
      </c>
      <c r="E107" s="8">
        <v>43.8</v>
      </c>
      <c r="F107" s="8">
        <v>43.8</v>
      </c>
      <c r="G107" s="14">
        <v>1.2</v>
      </c>
      <c r="H107" s="10">
        <f>(E107+D107)/100</f>
        <v>0.64800000000000002</v>
      </c>
      <c r="I107" s="11">
        <f>H107*G107</f>
        <v>0.77759999999999996</v>
      </c>
      <c r="K107" s="30" t="s">
        <v>122</v>
      </c>
      <c r="L107" s="13"/>
      <c r="M107" s="8"/>
      <c r="N107" s="8"/>
      <c r="O107" s="8">
        <f>(61.94+81.23)/2</f>
        <v>71.585000000000008</v>
      </c>
      <c r="P107" s="14">
        <v>4.7539999999999996</v>
      </c>
      <c r="Q107" s="10">
        <f t="shared" si="18"/>
        <v>0.7158500000000001</v>
      </c>
      <c r="R107" s="11">
        <f t="shared" si="19"/>
        <v>3.4031509</v>
      </c>
    </row>
    <row r="108" spans="2:18" x14ac:dyDescent="0.25">
      <c r="B108" s="30" t="s">
        <v>104</v>
      </c>
      <c r="C108" s="13">
        <v>43.8</v>
      </c>
      <c r="D108" s="8">
        <v>21</v>
      </c>
      <c r="E108" s="8"/>
      <c r="F108" s="8"/>
      <c r="G108" s="14"/>
      <c r="H108" s="10"/>
      <c r="I108" s="11">
        <f>C108*D108/10000</f>
        <v>9.1979999999999992E-2</v>
      </c>
      <c r="K108" s="30" t="s">
        <v>123</v>
      </c>
      <c r="L108" s="13"/>
      <c r="M108" s="8"/>
      <c r="N108" s="8"/>
      <c r="O108" s="8">
        <v>40</v>
      </c>
      <c r="P108" s="14">
        <v>0.21</v>
      </c>
      <c r="Q108" s="10">
        <f t="shared" si="18"/>
        <v>0.4</v>
      </c>
      <c r="R108" s="11">
        <f t="shared" si="19"/>
        <v>8.4000000000000005E-2</v>
      </c>
    </row>
    <row r="109" spans="2:18" x14ac:dyDescent="0.25">
      <c r="B109" s="30"/>
      <c r="C109" s="31"/>
      <c r="D109" s="8"/>
      <c r="E109" s="8"/>
      <c r="F109" s="8"/>
      <c r="G109" s="14"/>
      <c r="H109" s="10"/>
      <c r="I109" s="11"/>
      <c r="K109" s="33"/>
      <c r="L109" s="13"/>
      <c r="M109" s="7"/>
      <c r="N109" s="7"/>
      <c r="O109" s="7"/>
      <c r="P109" s="9"/>
      <c r="Q109" s="34"/>
      <c r="R109" s="35"/>
    </row>
    <row r="110" spans="2:18" x14ac:dyDescent="0.25">
      <c r="B110" s="30" t="s">
        <v>105</v>
      </c>
      <c r="C110" s="31"/>
      <c r="D110" s="8">
        <v>19.5</v>
      </c>
      <c r="E110" s="8">
        <v>40.57</v>
      </c>
      <c r="F110" s="8"/>
      <c r="G110" s="14">
        <v>4.1616999999999997</v>
      </c>
      <c r="H110" s="10">
        <f t="shared" ref="H110:H111" si="20">(E110+D110)/100</f>
        <v>0.60070000000000001</v>
      </c>
      <c r="I110" s="11">
        <f t="shared" ref="I110:I111" si="21">H110*G110</f>
        <v>2.4999331899999997</v>
      </c>
      <c r="K110" s="24" t="s">
        <v>89</v>
      </c>
      <c r="L110" s="36"/>
      <c r="M110" s="26"/>
      <c r="N110" s="26"/>
      <c r="O110" s="26"/>
      <c r="P110" s="27"/>
      <c r="Q110" s="28"/>
      <c r="R110" s="29"/>
    </row>
    <row r="111" spans="2:18" x14ac:dyDescent="0.25">
      <c r="B111" s="30" t="s">
        <v>106</v>
      </c>
      <c r="C111" s="31"/>
      <c r="D111" s="8">
        <v>16.510000000000002</v>
      </c>
      <c r="E111" s="8">
        <v>40.200000000000003</v>
      </c>
      <c r="F111" s="8"/>
      <c r="G111" s="14">
        <v>4.1683000000000003</v>
      </c>
      <c r="H111" s="10">
        <f t="shared" si="20"/>
        <v>0.56710000000000005</v>
      </c>
      <c r="I111" s="11">
        <f t="shared" si="21"/>
        <v>2.3638429300000006</v>
      </c>
      <c r="K111" s="30" t="s">
        <v>124</v>
      </c>
      <c r="L111" s="13"/>
      <c r="M111" s="8"/>
      <c r="N111" s="8"/>
      <c r="O111" s="8">
        <v>40</v>
      </c>
      <c r="P111" s="14">
        <v>0.21</v>
      </c>
      <c r="Q111" s="10">
        <f t="shared" ref="Q111:Q121" si="22">(L111+M111+N111+O111)/100</f>
        <v>0.4</v>
      </c>
      <c r="R111" s="11">
        <f t="shared" ref="R111:R121" si="23">Q111*P111</f>
        <v>8.4000000000000005E-2</v>
      </c>
    </row>
    <row r="112" spans="2:18" x14ac:dyDescent="0.25">
      <c r="B112" s="30"/>
      <c r="C112" s="31"/>
      <c r="D112" s="8"/>
      <c r="E112" s="8"/>
      <c r="F112" s="8"/>
      <c r="G112" s="14"/>
      <c r="H112" s="10"/>
      <c r="I112" s="11"/>
      <c r="K112" s="30" t="s">
        <v>125</v>
      </c>
      <c r="L112" s="13"/>
      <c r="M112" s="8"/>
      <c r="N112" s="8"/>
      <c r="O112" s="8">
        <f>(83.22+82.63)/2</f>
        <v>82.924999999999997</v>
      </c>
      <c r="P112" s="14">
        <v>0.2</v>
      </c>
      <c r="Q112" s="10">
        <f t="shared" si="22"/>
        <v>0.82924999999999993</v>
      </c>
      <c r="R112" s="11">
        <f t="shared" si="23"/>
        <v>0.16585</v>
      </c>
    </row>
    <row r="113" spans="2:18" x14ac:dyDescent="0.25">
      <c r="B113" s="30"/>
      <c r="C113" s="8"/>
      <c r="D113" s="8"/>
      <c r="E113" s="8"/>
      <c r="F113" s="8"/>
      <c r="G113" s="14"/>
      <c r="H113" s="10"/>
      <c r="I113" s="11"/>
      <c r="K113" s="30" t="s">
        <v>126</v>
      </c>
      <c r="L113" s="13"/>
      <c r="M113" s="8"/>
      <c r="N113" s="8"/>
      <c r="O113" s="8">
        <f>(162.63+145.25)/2</f>
        <v>153.94</v>
      </c>
      <c r="P113" s="14">
        <v>5.9809999999999999</v>
      </c>
      <c r="Q113" s="10">
        <f t="shared" si="22"/>
        <v>1.5393999999999999</v>
      </c>
      <c r="R113" s="11">
        <f t="shared" si="23"/>
        <v>9.207151399999999</v>
      </c>
    </row>
    <row r="114" spans="2:18" x14ac:dyDescent="0.25">
      <c r="B114" s="24" t="s">
        <v>107</v>
      </c>
      <c r="C114" s="26"/>
      <c r="D114" s="26"/>
      <c r="E114" s="26"/>
      <c r="F114" s="26"/>
      <c r="G114" s="27"/>
      <c r="H114" s="28"/>
      <c r="I114" s="29"/>
      <c r="K114" s="30" t="s">
        <v>127</v>
      </c>
      <c r="L114" s="13"/>
      <c r="M114" s="8"/>
      <c r="N114" s="8"/>
      <c r="O114" s="8">
        <v>95</v>
      </c>
      <c r="P114" s="14">
        <v>2.4550000000000001</v>
      </c>
      <c r="Q114" s="10">
        <f t="shared" si="22"/>
        <v>0.95</v>
      </c>
      <c r="R114" s="11">
        <f t="shared" si="23"/>
        <v>2.3322500000000002</v>
      </c>
    </row>
    <row r="115" spans="2:18" x14ac:dyDescent="0.25">
      <c r="B115" s="30" t="s">
        <v>90</v>
      </c>
      <c r="C115" s="13">
        <v>41.5</v>
      </c>
      <c r="D115" s="8">
        <v>21</v>
      </c>
      <c r="E115" s="8"/>
      <c r="F115" s="8"/>
      <c r="G115" s="14"/>
      <c r="H115" s="10"/>
      <c r="I115" s="11">
        <f>C115*D115/10000</f>
        <v>8.7150000000000005E-2</v>
      </c>
      <c r="K115" s="30" t="s">
        <v>128</v>
      </c>
      <c r="L115" s="13"/>
      <c r="M115" s="8"/>
      <c r="N115" s="8"/>
      <c r="O115" s="8">
        <f>(145.26+162.63)/2</f>
        <v>153.94499999999999</v>
      </c>
      <c r="P115" s="14">
        <v>6.0179999999999998</v>
      </c>
      <c r="Q115" s="10">
        <f t="shared" si="22"/>
        <v>1.53945</v>
      </c>
      <c r="R115" s="11">
        <f t="shared" si="23"/>
        <v>9.2644100999999992</v>
      </c>
    </row>
    <row r="116" spans="2:18" x14ac:dyDescent="0.25">
      <c r="B116" s="30" t="s">
        <v>91</v>
      </c>
      <c r="C116" s="13"/>
      <c r="D116" s="8">
        <v>21</v>
      </c>
      <c r="E116" s="8">
        <v>41.5</v>
      </c>
      <c r="F116" s="8">
        <v>41.5</v>
      </c>
      <c r="G116" s="14">
        <v>1</v>
      </c>
      <c r="H116" s="10">
        <f>(E116+D116+F116)/100</f>
        <v>1.04</v>
      </c>
      <c r="I116" s="11">
        <f>H116*G116</f>
        <v>1.04</v>
      </c>
      <c r="K116" s="30" t="s">
        <v>129</v>
      </c>
      <c r="L116" s="13"/>
      <c r="M116" s="8"/>
      <c r="N116" s="8"/>
      <c r="O116" s="8">
        <f>(82.63+83.22)/2</f>
        <v>82.924999999999997</v>
      </c>
      <c r="P116" s="14">
        <v>0.2</v>
      </c>
      <c r="Q116" s="10">
        <f t="shared" si="22"/>
        <v>0.82924999999999993</v>
      </c>
      <c r="R116" s="11">
        <f t="shared" si="23"/>
        <v>0.16585</v>
      </c>
    </row>
    <row r="117" spans="2:18" x14ac:dyDescent="0.25">
      <c r="B117" s="30" t="s">
        <v>92</v>
      </c>
      <c r="C117" s="13"/>
      <c r="D117" s="8">
        <v>14.5</v>
      </c>
      <c r="E117" s="8">
        <v>81.23</v>
      </c>
      <c r="F117" s="8"/>
      <c r="G117" s="14">
        <v>13.52</v>
      </c>
      <c r="H117" s="10">
        <f>(E117+D117)/100</f>
        <v>0.95730000000000004</v>
      </c>
      <c r="I117" s="11">
        <f>H117*G117</f>
        <v>12.942696</v>
      </c>
      <c r="K117" s="30" t="s">
        <v>130</v>
      </c>
      <c r="L117" s="13"/>
      <c r="M117" s="8"/>
      <c r="N117" s="8"/>
      <c r="O117" s="8">
        <v>40</v>
      </c>
      <c r="P117" s="14">
        <v>0.21</v>
      </c>
      <c r="Q117" s="10">
        <f t="shared" si="22"/>
        <v>0.4</v>
      </c>
      <c r="R117" s="11">
        <f t="shared" si="23"/>
        <v>8.4000000000000005E-2</v>
      </c>
    </row>
    <row r="118" spans="2:18" x14ac:dyDescent="0.25">
      <c r="B118" s="30" t="s">
        <v>93</v>
      </c>
      <c r="C118" s="13"/>
      <c r="D118" s="8">
        <v>21</v>
      </c>
      <c r="E118" s="8">
        <v>41.5</v>
      </c>
      <c r="F118" s="8">
        <v>41.5</v>
      </c>
      <c r="G118" s="14">
        <v>1</v>
      </c>
      <c r="H118" s="10">
        <f>(E118+D118+F118)/100</f>
        <v>1.04</v>
      </c>
      <c r="I118" s="11">
        <f>H118*G118</f>
        <v>1.04</v>
      </c>
      <c r="K118" s="30"/>
      <c r="L118" s="13"/>
      <c r="M118" s="8"/>
      <c r="N118" s="8"/>
      <c r="O118" s="8"/>
      <c r="P118" s="14"/>
      <c r="Q118" s="10"/>
      <c r="R118" s="11"/>
    </row>
    <row r="119" spans="2:18" x14ac:dyDescent="0.25">
      <c r="B119" s="30" t="s">
        <v>108</v>
      </c>
      <c r="C119" s="13">
        <v>41.5</v>
      </c>
      <c r="D119" s="8">
        <v>21</v>
      </c>
      <c r="E119" s="8"/>
      <c r="F119" s="8"/>
      <c r="G119" s="14"/>
      <c r="H119" s="10"/>
      <c r="I119" s="11">
        <f>C119*D119/10000</f>
        <v>8.7150000000000005E-2</v>
      </c>
      <c r="K119" s="30" t="s">
        <v>75</v>
      </c>
      <c r="L119" s="13"/>
      <c r="M119" s="8"/>
      <c r="N119" s="8"/>
      <c r="O119" s="8">
        <v>80</v>
      </c>
      <c r="P119" s="14">
        <v>0.98599999999999999</v>
      </c>
      <c r="Q119" s="10">
        <f t="shared" si="22"/>
        <v>0.8</v>
      </c>
      <c r="R119" s="11">
        <f t="shared" si="23"/>
        <v>0.78880000000000006</v>
      </c>
    </row>
    <row r="120" spans="2:18" x14ac:dyDescent="0.25">
      <c r="B120" s="30"/>
      <c r="C120" s="13"/>
      <c r="D120" s="8"/>
      <c r="E120" s="8"/>
      <c r="F120" s="8"/>
      <c r="G120" s="14"/>
      <c r="H120" s="10"/>
      <c r="I120" s="11"/>
      <c r="K120" s="30" t="s">
        <v>76</v>
      </c>
      <c r="L120" s="13"/>
      <c r="M120" s="8"/>
      <c r="N120" s="8"/>
      <c r="O120" s="8">
        <v>80</v>
      </c>
      <c r="P120" s="14">
        <v>1.3959999999999999</v>
      </c>
      <c r="Q120" s="10">
        <f t="shared" si="22"/>
        <v>0.8</v>
      </c>
      <c r="R120" s="11">
        <f t="shared" si="23"/>
        <v>1.1168</v>
      </c>
    </row>
    <row r="121" spans="2:18" x14ac:dyDescent="0.25">
      <c r="B121" s="30" t="s">
        <v>96</v>
      </c>
      <c r="C121" s="13"/>
      <c r="D121" s="8">
        <v>12.5</v>
      </c>
      <c r="E121" s="8">
        <v>40</v>
      </c>
      <c r="F121" s="8"/>
      <c r="G121" s="14">
        <v>4.1369999999999996</v>
      </c>
      <c r="H121" s="10">
        <f t="shared" ref="H121:H123" si="24">(E121+D121)/100</f>
        <v>0.52500000000000002</v>
      </c>
      <c r="I121" s="11">
        <f t="shared" ref="I121:I123" si="25">H121*G121</f>
        <v>2.1719249999999999</v>
      </c>
      <c r="K121" s="30" t="s">
        <v>112</v>
      </c>
      <c r="L121" s="13"/>
      <c r="M121" s="8"/>
      <c r="N121" s="8"/>
      <c r="O121" s="8">
        <v>40</v>
      </c>
      <c r="P121" s="14">
        <v>10.083600000000001</v>
      </c>
      <c r="Q121" s="10">
        <f t="shared" si="22"/>
        <v>0.4</v>
      </c>
      <c r="R121" s="11">
        <f t="shared" si="23"/>
        <v>4.0334400000000006</v>
      </c>
    </row>
    <row r="122" spans="2:18" x14ac:dyDescent="0.25">
      <c r="B122" s="30" t="s">
        <v>97</v>
      </c>
      <c r="C122" s="13"/>
      <c r="D122" s="8">
        <v>12.5</v>
      </c>
      <c r="E122" s="8">
        <v>40</v>
      </c>
      <c r="F122" s="8"/>
      <c r="G122" s="14">
        <v>4.1550000000000002</v>
      </c>
      <c r="H122" s="10">
        <f t="shared" si="24"/>
        <v>0.52500000000000002</v>
      </c>
      <c r="I122" s="11">
        <f t="shared" si="25"/>
        <v>2.1813750000000001</v>
      </c>
      <c r="K122" s="30"/>
      <c r="L122" s="13"/>
      <c r="M122" s="8"/>
      <c r="N122" s="8"/>
      <c r="O122" s="8"/>
      <c r="P122" s="14"/>
      <c r="Q122" s="10"/>
      <c r="R122" s="11"/>
    </row>
    <row r="123" spans="2:18" x14ac:dyDescent="0.25">
      <c r="B123" s="30" t="s">
        <v>98</v>
      </c>
      <c r="C123" s="13"/>
      <c r="D123" s="8">
        <v>12.5</v>
      </c>
      <c r="E123" s="8">
        <v>40</v>
      </c>
      <c r="F123" s="8"/>
      <c r="G123" s="14">
        <v>4.1383000000000001</v>
      </c>
      <c r="H123" s="10">
        <f t="shared" si="24"/>
        <v>0.52500000000000002</v>
      </c>
      <c r="I123" s="11">
        <f t="shared" si="25"/>
        <v>2.1726075000000002</v>
      </c>
      <c r="K123" s="30" t="s">
        <v>85</v>
      </c>
      <c r="L123" s="13"/>
      <c r="M123" s="8"/>
      <c r="N123" s="8"/>
      <c r="O123" s="8">
        <v>80</v>
      </c>
      <c r="P123" s="14">
        <v>0.98599999999999999</v>
      </c>
      <c r="Q123" s="10">
        <f t="shared" ref="Q123:Q125" si="26">(L123+M123+N123+O123)/100</f>
        <v>0.8</v>
      </c>
      <c r="R123" s="11">
        <f t="shared" ref="R123:R125" si="27">Q123*P123</f>
        <v>0.78880000000000006</v>
      </c>
    </row>
    <row r="124" spans="2:18" x14ac:dyDescent="0.25">
      <c r="B124" s="30"/>
      <c r="C124" s="13"/>
      <c r="D124" s="8"/>
      <c r="E124" s="8"/>
      <c r="F124" s="8"/>
      <c r="G124" s="14"/>
      <c r="H124" s="10"/>
      <c r="I124" s="11"/>
      <c r="K124" s="30" t="s">
        <v>86</v>
      </c>
      <c r="L124" s="13"/>
      <c r="M124" s="8"/>
      <c r="N124" s="8"/>
      <c r="O124" s="8">
        <v>80</v>
      </c>
      <c r="P124" s="14">
        <v>1.3959999999999999</v>
      </c>
      <c r="Q124" s="10">
        <f t="shared" si="26"/>
        <v>0.8</v>
      </c>
      <c r="R124" s="11">
        <f t="shared" si="27"/>
        <v>1.1168</v>
      </c>
    </row>
    <row r="125" spans="2:18" x14ac:dyDescent="0.25">
      <c r="B125" s="30" t="s">
        <v>99</v>
      </c>
      <c r="C125" s="13">
        <v>41.5</v>
      </c>
      <c r="D125" s="8">
        <v>21</v>
      </c>
      <c r="E125" s="8"/>
      <c r="F125" s="8"/>
      <c r="G125" s="14"/>
      <c r="H125" s="10"/>
      <c r="I125" s="11">
        <f>C125*D125/10000</f>
        <v>8.7150000000000005E-2</v>
      </c>
      <c r="K125" s="30" t="s">
        <v>118</v>
      </c>
      <c r="L125" s="13"/>
      <c r="M125" s="8"/>
      <c r="N125" s="8"/>
      <c r="O125" s="8">
        <v>40</v>
      </c>
      <c r="P125" s="14">
        <v>10.1035</v>
      </c>
      <c r="Q125" s="10">
        <f t="shared" si="26"/>
        <v>0.4</v>
      </c>
      <c r="R125" s="11">
        <f t="shared" si="27"/>
        <v>4.0414000000000003</v>
      </c>
    </row>
    <row r="126" spans="2:18" x14ac:dyDescent="0.25">
      <c r="B126" s="30" t="s">
        <v>100</v>
      </c>
      <c r="C126" s="13"/>
      <c r="D126" s="8">
        <v>21</v>
      </c>
      <c r="E126" s="8">
        <v>41.5</v>
      </c>
      <c r="F126" s="8">
        <v>41.5</v>
      </c>
      <c r="G126" s="14">
        <v>1</v>
      </c>
      <c r="H126" s="10">
        <f>(E126+D126+F126)/100</f>
        <v>1.04</v>
      </c>
      <c r="I126" s="11">
        <f>H126*G126</f>
        <v>1.04</v>
      </c>
      <c r="K126" s="30"/>
      <c r="L126" s="13"/>
      <c r="M126" s="8"/>
      <c r="N126" s="8"/>
      <c r="O126" s="8"/>
      <c r="P126" s="14"/>
      <c r="Q126" s="10"/>
      <c r="R126" s="11"/>
    </row>
    <row r="127" spans="2:18" x14ac:dyDescent="0.25">
      <c r="B127" s="30" t="s">
        <v>101</v>
      </c>
      <c r="C127" s="13"/>
      <c r="D127" s="8">
        <v>14.5</v>
      </c>
      <c r="E127" s="8">
        <v>81.23</v>
      </c>
      <c r="F127" s="8"/>
      <c r="G127" s="14">
        <v>13.52</v>
      </c>
      <c r="H127" s="10">
        <f>(E127+D127)/100</f>
        <v>0.95730000000000004</v>
      </c>
      <c r="I127" s="11">
        <f>H127*G127</f>
        <v>12.942696</v>
      </c>
      <c r="K127" s="30" t="s">
        <v>131</v>
      </c>
      <c r="L127" s="13"/>
      <c r="M127" s="8"/>
      <c r="N127" s="8"/>
      <c r="O127" s="8">
        <v>40</v>
      </c>
      <c r="P127" s="14">
        <v>0.21</v>
      </c>
      <c r="Q127" s="10">
        <f t="shared" ref="Q127:Q133" si="28">(L127+M127+N127+O127)/100</f>
        <v>0.4</v>
      </c>
      <c r="R127" s="11">
        <f t="shared" ref="R127:R133" si="29">Q127*P127</f>
        <v>8.4000000000000005E-2</v>
      </c>
    </row>
    <row r="128" spans="2:18" x14ac:dyDescent="0.25">
      <c r="B128" s="30" t="s">
        <v>102</v>
      </c>
      <c r="C128" s="13"/>
      <c r="D128" s="8">
        <v>21</v>
      </c>
      <c r="E128" s="8">
        <v>41.5</v>
      </c>
      <c r="F128" s="8">
        <v>41.5</v>
      </c>
      <c r="G128" s="14">
        <v>1</v>
      </c>
      <c r="H128" s="10">
        <f>(E128+D128+F128)/100</f>
        <v>1.04</v>
      </c>
      <c r="I128" s="11">
        <f>H128*G128</f>
        <v>1.04</v>
      </c>
      <c r="K128" s="30" t="s">
        <v>132</v>
      </c>
      <c r="L128" s="13"/>
      <c r="M128" s="8"/>
      <c r="N128" s="8"/>
      <c r="O128" s="8">
        <f>(83.22+82.63)/2</f>
        <v>82.924999999999997</v>
      </c>
      <c r="P128" s="14">
        <v>0.2</v>
      </c>
      <c r="Q128" s="10">
        <f t="shared" si="28"/>
        <v>0.82924999999999993</v>
      </c>
      <c r="R128" s="11">
        <f t="shared" si="29"/>
        <v>0.16585</v>
      </c>
    </row>
    <row r="129" spans="2:18" x14ac:dyDescent="0.25">
      <c r="B129" s="30" t="s">
        <v>109</v>
      </c>
      <c r="C129" s="13">
        <v>41.5</v>
      </c>
      <c r="D129" s="8">
        <v>21</v>
      </c>
      <c r="E129" s="8"/>
      <c r="F129" s="8"/>
      <c r="G129" s="14"/>
      <c r="H129" s="10"/>
      <c r="I129" s="11">
        <f>C129*D129/10000</f>
        <v>8.7150000000000005E-2</v>
      </c>
      <c r="K129" s="30" t="s">
        <v>133</v>
      </c>
      <c r="L129" s="13"/>
      <c r="M129" s="8"/>
      <c r="N129" s="8"/>
      <c r="O129" s="8">
        <f>(162.63+145.25)/2</f>
        <v>153.94</v>
      </c>
      <c r="P129" s="14">
        <v>5.9809999999999999</v>
      </c>
      <c r="Q129" s="10">
        <f t="shared" si="28"/>
        <v>1.5393999999999999</v>
      </c>
      <c r="R129" s="11">
        <f t="shared" si="29"/>
        <v>9.207151399999999</v>
      </c>
    </row>
    <row r="130" spans="2:18" x14ac:dyDescent="0.25">
      <c r="B130" s="30"/>
      <c r="C130" s="13"/>
      <c r="D130" s="8"/>
      <c r="E130" s="8"/>
      <c r="F130" s="8"/>
      <c r="G130" s="14"/>
      <c r="H130" s="10"/>
      <c r="I130" s="11"/>
      <c r="K130" s="30" t="s">
        <v>134</v>
      </c>
      <c r="L130" s="13"/>
      <c r="M130" s="8"/>
      <c r="N130" s="8"/>
      <c r="O130" s="8">
        <v>95</v>
      </c>
      <c r="P130" s="14">
        <v>2.4550000000000001</v>
      </c>
      <c r="Q130" s="10">
        <f t="shared" si="28"/>
        <v>0.95</v>
      </c>
      <c r="R130" s="11">
        <f t="shared" si="29"/>
        <v>2.3322500000000002</v>
      </c>
    </row>
    <row r="131" spans="2:18" x14ac:dyDescent="0.25">
      <c r="B131" s="30" t="s">
        <v>105</v>
      </c>
      <c r="C131" s="13"/>
      <c r="D131" s="8">
        <v>12.5</v>
      </c>
      <c r="E131" s="8">
        <v>40</v>
      </c>
      <c r="F131" s="8"/>
      <c r="G131" s="14">
        <v>4.1369999999999996</v>
      </c>
      <c r="H131" s="10">
        <f t="shared" ref="H131:H133" si="30">(E131+D131)/100</f>
        <v>0.52500000000000002</v>
      </c>
      <c r="I131" s="11">
        <f t="shared" ref="I131:I133" si="31">H131*G131</f>
        <v>2.1719249999999999</v>
      </c>
      <c r="K131" s="30" t="s">
        <v>135</v>
      </c>
      <c r="L131" s="13"/>
      <c r="M131" s="8"/>
      <c r="N131" s="8"/>
      <c r="O131" s="8">
        <f>(145.26+162.63)/2</f>
        <v>153.94499999999999</v>
      </c>
      <c r="P131" s="14">
        <v>6.0179999999999998</v>
      </c>
      <c r="Q131" s="10">
        <f t="shared" si="28"/>
        <v>1.53945</v>
      </c>
      <c r="R131" s="11">
        <f t="shared" si="29"/>
        <v>9.2644100999999992</v>
      </c>
    </row>
    <row r="132" spans="2:18" x14ac:dyDescent="0.25">
      <c r="B132" s="30" t="s">
        <v>106</v>
      </c>
      <c r="C132" s="13"/>
      <c r="D132" s="8">
        <v>12.5</v>
      </c>
      <c r="E132" s="8">
        <v>40</v>
      </c>
      <c r="F132" s="8"/>
      <c r="G132" s="14">
        <v>4.1550000000000002</v>
      </c>
      <c r="H132" s="10">
        <f t="shared" si="30"/>
        <v>0.52500000000000002</v>
      </c>
      <c r="I132" s="11">
        <f t="shared" si="31"/>
        <v>2.1813750000000001</v>
      </c>
      <c r="K132" s="30" t="s">
        <v>136</v>
      </c>
      <c r="L132" s="13"/>
      <c r="M132" s="8"/>
      <c r="N132" s="8"/>
      <c r="O132" s="8">
        <f>(82.63+83.22)/2</f>
        <v>82.924999999999997</v>
      </c>
      <c r="P132" s="14">
        <v>0.2</v>
      </c>
      <c r="Q132" s="10">
        <f t="shared" si="28"/>
        <v>0.82924999999999993</v>
      </c>
      <c r="R132" s="11">
        <f t="shared" si="29"/>
        <v>0.16585</v>
      </c>
    </row>
    <row r="133" spans="2:18" x14ac:dyDescent="0.25">
      <c r="B133" s="30" t="s">
        <v>110</v>
      </c>
      <c r="C133" s="13"/>
      <c r="D133" s="8">
        <v>12.5</v>
      </c>
      <c r="E133" s="8">
        <v>40</v>
      </c>
      <c r="F133" s="8"/>
      <c r="G133" s="14">
        <v>4.1383000000000001</v>
      </c>
      <c r="H133" s="10">
        <f t="shared" si="30"/>
        <v>0.52500000000000002</v>
      </c>
      <c r="I133" s="11">
        <f t="shared" si="31"/>
        <v>2.1726075000000002</v>
      </c>
      <c r="K133" s="30" t="s">
        <v>137</v>
      </c>
      <c r="L133" s="13"/>
      <c r="M133" s="8"/>
      <c r="N133" s="8"/>
      <c r="O133" s="8">
        <v>40</v>
      </c>
      <c r="P133" s="14">
        <v>0.21</v>
      </c>
      <c r="Q133" s="10">
        <f t="shared" si="28"/>
        <v>0.4</v>
      </c>
      <c r="R133" s="11">
        <f t="shared" si="29"/>
        <v>8.4000000000000005E-2</v>
      </c>
    </row>
    <row r="134" spans="2:18" ht="15.75" thickBot="1" x14ac:dyDescent="0.3">
      <c r="B134" s="32"/>
      <c r="C134" s="16"/>
      <c r="D134" s="17"/>
      <c r="E134" s="17"/>
      <c r="F134" s="17"/>
      <c r="G134" s="18"/>
      <c r="H134" s="19"/>
      <c r="I134" s="20"/>
      <c r="K134" s="32"/>
      <c r="L134" s="16"/>
      <c r="M134" s="17"/>
      <c r="N134" s="17"/>
      <c r="O134" s="17"/>
      <c r="P134" s="18"/>
      <c r="Q134" s="19"/>
      <c r="R134" s="20"/>
    </row>
  </sheetData>
  <mergeCells count="2">
    <mergeCell ref="B14:R14"/>
    <mergeCell ref="B1:R1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R104"/>
  <sheetViews>
    <sheetView workbookViewId="0">
      <selection activeCell="I142" sqref="I142"/>
    </sheetView>
  </sheetViews>
  <sheetFormatPr defaultRowHeight="15" x14ac:dyDescent="0.25"/>
  <cols>
    <col min="2" max="2" width="20.140625" customWidth="1"/>
    <col min="3" max="3" width="9.5703125" bestFit="1" customWidth="1"/>
  </cols>
  <sheetData>
    <row r="1" spans="2:18" x14ac:dyDescent="0.25">
      <c r="B1" s="161" t="s">
        <v>150</v>
      </c>
      <c r="C1" s="161"/>
      <c r="D1" s="161"/>
      <c r="E1" s="161"/>
      <c r="F1" s="161"/>
      <c r="G1" s="161"/>
      <c r="H1" s="161"/>
      <c r="I1" s="161"/>
      <c r="J1" s="161"/>
      <c r="K1" s="161"/>
      <c r="L1" s="161"/>
      <c r="M1" s="161"/>
      <c r="N1" s="161"/>
      <c r="O1" s="161"/>
      <c r="P1" s="161"/>
      <c r="Q1" s="161"/>
      <c r="R1" s="161"/>
    </row>
    <row r="2" spans="2:18" ht="15.75" thickBot="1" x14ac:dyDescent="0.3"/>
    <row r="3" spans="2:18" ht="15.75" thickBot="1" x14ac:dyDescent="0.3">
      <c r="B3" s="52" t="s">
        <v>138</v>
      </c>
      <c r="C3" s="37" t="s">
        <v>6</v>
      </c>
      <c r="D3" s="37"/>
      <c r="E3" s="51"/>
      <c r="F3" s="51"/>
    </row>
    <row r="4" spans="2:18" x14ac:dyDescent="0.25">
      <c r="B4" s="38" t="s">
        <v>139</v>
      </c>
      <c r="C4" s="39">
        <v>115.86230000000003</v>
      </c>
      <c r="D4" s="39"/>
    </row>
    <row r="5" spans="2:18" x14ac:dyDescent="0.25">
      <c r="B5" s="40" t="s">
        <v>140</v>
      </c>
      <c r="C5" s="41">
        <v>14.783999999999999</v>
      </c>
      <c r="D5" s="41"/>
    </row>
    <row r="6" spans="2:18" ht="15.75" thickBot="1" x14ac:dyDescent="0.3">
      <c r="B6" s="42" t="s">
        <v>88</v>
      </c>
      <c r="C6" s="43">
        <v>253.9550759</v>
      </c>
      <c r="D6" s="43"/>
    </row>
    <row r="7" spans="2:18" x14ac:dyDescent="0.25">
      <c r="B7" s="44" t="s">
        <v>141</v>
      </c>
      <c r="C7" s="45">
        <f>SUM(C4:C6)</f>
        <v>384.60137589999999</v>
      </c>
      <c r="D7" s="45"/>
      <c r="E7" t="s">
        <v>142</v>
      </c>
    </row>
    <row r="8" spans="2:18" ht="15.75" thickBot="1" x14ac:dyDescent="0.3">
      <c r="B8" s="46" t="s">
        <v>143</v>
      </c>
      <c r="C8" s="47">
        <v>384.68</v>
      </c>
      <c r="D8" s="47"/>
      <c r="E8" t="s">
        <v>144</v>
      </c>
    </row>
    <row r="9" spans="2:18" ht="15.75" thickBot="1" x14ac:dyDescent="0.3">
      <c r="B9" s="48" t="s">
        <v>145</v>
      </c>
      <c r="C9" s="49">
        <v>7.8624100000013186E-2</v>
      </c>
      <c r="D9" s="50">
        <f>C9/C7</f>
        <v>2.0443010588827481E-4</v>
      </c>
      <c r="E9" t="s">
        <v>171</v>
      </c>
    </row>
    <row r="11" spans="2:18" x14ac:dyDescent="0.25">
      <c r="B11" s="54" t="s">
        <v>172</v>
      </c>
      <c r="C11" s="54"/>
      <c r="D11" s="53"/>
    </row>
    <row r="12" spans="2:18" x14ac:dyDescent="0.25">
      <c r="B12" s="64"/>
      <c r="C12" s="64"/>
      <c r="D12" s="51"/>
    </row>
    <row r="14" spans="2:18" x14ac:dyDescent="0.25">
      <c r="B14" s="161" t="s">
        <v>148</v>
      </c>
      <c r="C14" s="161"/>
      <c r="D14" s="161"/>
      <c r="E14" s="161"/>
      <c r="F14" s="161"/>
      <c r="G14" s="161"/>
      <c r="H14" s="161"/>
      <c r="I14" s="161"/>
      <c r="J14" s="161"/>
      <c r="K14" s="161"/>
      <c r="L14" s="161"/>
      <c r="M14" s="161"/>
      <c r="N14" s="161"/>
      <c r="O14" s="161"/>
      <c r="P14" s="161"/>
      <c r="Q14" s="161"/>
      <c r="R14" s="161"/>
    </row>
    <row r="15" spans="2:18" ht="15.75" thickBot="1" x14ac:dyDescent="0.3"/>
    <row r="16" spans="2:18" ht="15.75" thickBot="1" x14ac:dyDescent="0.3">
      <c r="B16" s="4" t="s">
        <v>0</v>
      </c>
      <c r="C16" s="2" t="s">
        <v>1</v>
      </c>
      <c r="D16" s="3" t="s">
        <v>2</v>
      </c>
      <c r="E16" s="3" t="s">
        <v>3</v>
      </c>
      <c r="F16" s="3" t="s">
        <v>4</v>
      </c>
      <c r="G16" s="2" t="s">
        <v>5</v>
      </c>
      <c r="H16" s="55" t="s">
        <v>6</v>
      </c>
    </row>
    <row r="17" spans="2:18" x14ac:dyDescent="0.25">
      <c r="B17" s="56">
        <v>1</v>
      </c>
      <c r="C17" s="6">
        <v>45</v>
      </c>
      <c r="D17" s="7">
        <v>45</v>
      </c>
      <c r="E17" s="8">
        <v>246</v>
      </c>
      <c r="F17" s="9">
        <v>1.2</v>
      </c>
      <c r="G17" s="10">
        <f t="shared" ref="G17:G20" si="0">(C17+E17+D17)/100</f>
        <v>3.36</v>
      </c>
      <c r="H17" s="57">
        <f t="shared" ref="H17:H20" si="1">G17*F17</f>
        <v>4.032</v>
      </c>
    </row>
    <row r="18" spans="2:18" x14ac:dyDescent="0.25">
      <c r="B18" s="58">
        <v>2</v>
      </c>
      <c r="C18" s="13">
        <v>45</v>
      </c>
      <c r="D18" s="8">
        <v>45</v>
      </c>
      <c r="E18" s="8">
        <v>246</v>
      </c>
      <c r="F18" s="14">
        <v>1</v>
      </c>
      <c r="G18" s="10">
        <f t="shared" si="0"/>
        <v>3.36</v>
      </c>
      <c r="H18" s="57">
        <f t="shared" si="1"/>
        <v>3.36</v>
      </c>
    </row>
    <row r="19" spans="2:18" x14ac:dyDescent="0.25">
      <c r="B19" s="58">
        <v>3</v>
      </c>
      <c r="C19" s="13">
        <v>45</v>
      </c>
      <c r="D19" s="8">
        <v>45</v>
      </c>
      <c r="E19" s="8">
        <v>246</v>
      </c>
      <c r="F19" s="14">
        <v>1</v>
      </c>
      <c r="G19" s="10">
        <f t="shared" si="0"/>
        <v>3.36</v>
      </c>
      <c r="H19" s="57">
        <f t="shared" si="1"/>
        <v>3.36</v>
      </c>
    </row>
    <row r="20" spans="2:18" ht="15.75" thickBot="1" x14ac:dyDescent="0.3">
      <c r="B20" s="59">
        <v>4</v>
      </c>
      <c r="C20" s="16">
        <v>45</v>
      </c>
      <c r="D20" s="17">
        <v>45</v>
      </c>
      <c r="E20" s="17">
        <v>246</v>
      </c>
      <c r="F20" s="18">
        <v>1.2</v>
      </c>
      <c r="G20" s="19">
        <f t="shared" si="0"/>
        <v>3.36</v>
      </c>
      <c r="H20" s="60">
        <f t="shared" si="1"/>
        <v>4.032</v>
      </c>
    </row>
    <row r="22" spans="2:18" ht="15.75" thickBot="1" x14ac:dyDescent="0.3"/>
    <row r="23" spans="2:18" ht="15.75" thickBot="1" x14ac:dyDescent="0.3">
      <c r="B23" s="4" t="s">
        <v>10</v>
      </c>
      <c r="C23" s="2" t="s">
        <v>1</v>
      </c>
      <c r="D23" s="3" t="s">
        <v>2</v>
      </c>
      <c r="E23" s="3" t="s">
        <v>3</v>
      </c>
      <c r="F23" s="3" t="s">
        <v>11</v>
      </c>
      <c r="G23" s="3" t="s">
        <v>12</v>
      </c>
      <c r="H23" s="2" t="s">
        <v>5</v>
      </c>
      <c r="I23" s="55" t="s">
        <v>6</v>
      </c>
      <c r="K23" s="4" t="s">
        <v>10</v>
      </c>
      <c r="L23" s="2" t="s">
        <v>1</v>
      </c>
      <c r="M23" s="3" t="s">
        <v>2</v>
      </c>
      <c r="N23" s="3" t="s">
        <v>3</v>
      </c>
      <c r="O23" s="3" t="s">
        <v>11</v>
      </c>
      <c r="P23" s="3" t="s">
        <v>12</v>
      </c>
      <c r="Q23" s="2" t="s">
        <v>5</v>
      </c>
      <c r="R23" s="55" t="s">
        <v>6</v>
      </c>
    </row>
    <row r="24" spans="2:18" x14ac:dyDescent="0.25">
      <c r="B24" s="56" t="s">
        <v>13</v>
      </c>
      <c r="C24" s="6">
        <v>0</v>
      </c>
      <c r="D24" s="8">
        <v>26</v>
      </c>
      <c r="E24" s="8">
        <v>40.5</v>
      </c>
      <c r="F24" s="8">
        <v>25</v>
      </c>
      <c r="G24" s="9">
        <v>4</v>
      </c>
      <c r="H24" s="10">
        <f t="shared" ref="H24:H57" si="2">(C24+D24+E24+F24)/100</f>
        <v>0.91500000000000004</v>
      </c>
      <c r="I24" s="57">
        <f t="shared" ref="I24:I57" si="3">H24*G24</f>
        <v>3.66</v>
      </c>
      <c r="K24" s="56" t="s">
        <v>13</v>
      </c>
      <c r="L24" s="6"/>
      <c r="M24" s="8"/>
      <c r="N24" s="8">
        <v>19.5</v>
      </c>
      <c r="O24" s="8"/>
      <c r="P24" s="14">
        <v>1.61</v>
      </c>
      <c r="Q24" s="10">
        <f t="shared" ref="Q24:Q62" si="4">(L24+M24+N24+O24)/100</f>
        <v>0.19500000000000001</v>
      </c>
      <c r="R24" s="57">
        <f t="shared" ref="R24:R62" si="5">Q24*P24</f>
        <v>0.31395000000000001</v>
      </c>
    </row>
    <row r="25" spans="2:18" x14ac:dyDescent="0.25">
      <c r="B25" s="58" t="s">
        <v>14</v>
      </c>
      <c r="C25" s="13">
        <v>0</v>
      </c>
      <c r="D25" s="8">
        <v>25.5</v>
      </c>
      <c r="E25" s="8">
        <v>25</v>
      </c>
      <c r="F25" s="8">
        <v>40.5</v>
      </c>
      <c r="G25" s="14">
        <v>4</v>
      </c>
      <c r="H25" s="10">
        <f t="shared" si="2"/>
        <v>0.91</v>
      </c>
      <c r="I25" s="57">
        <f t="shared" si="3"/>
        <v>3.64</v>
      </c>
      <c r="K25" s="58" t="s">
        <v>14</v>
      </c>
      <c r="L25" s="13"/>
      <c r="M25" s="8"/>
      <c r="N25" s="8">
        <v>19.5</v>
      </c>
      <c r="O25" s="8"/>
      <c r="P25" s="14">
        <v>1.61</v>
      </c>
      <c r="Q25" s="10">
        <f t="shared" si="4"/>
        <v>0.19500000000000001</v>
      </c>
      <c r="R25" s="57">
        <f t="shared" si="5"/>
        <v>0.31395000000000001</v>
      </c>
    </row>
    <row r="26" spans="2:18" x14ac:dyDescent="0.25">
      <c r="B26" s="58" t="s">
        <v>15</v>
      </c>
      <c r="C26" s="13">
        <v>0</v>
      </c>
      <c r="D26" s="8">
        <v>26</v>
      </c>
      <c r="E26" s="8">
        <v>25</v>
      </c>
      <c r="F26" s="8">
        <v>25</v>
      </c>
      <c r="G26" s="14">
        <v>4</v>
      </c>
      <c r="H26" s="10">
        <f t="shared" si="2"/>
        <v>0.76</v>
      </c>
      <c r="I26" s="57">
        <f t="shared" si="3"/>
        <v>3.04</v>
      </c>
      <c r="K26" s="58" t="s">
        <v>15</v>
      </c>
      <c r="L26" s="13"/>
      <c r="M26" s="8"/>
      <c r="N26" s="8">
        <v>19.5</v>
      </c>
      <c r="O26" s="8">
        <v>19.5</v>
      </c>
      <c r="P26" s="14">
        <v>1.61</v>
      </c>
      <c r="Q26" s="10">
        <f t="shared" si="4"/>
        <v>0.39</v>
      </c>
      <c r="R26" s="57">
        <f t="shared" si="5"/>
        <v>0.62790000000000001</v>
      </c>
    </row>
    <row r="27" spans="2:18" x14ac:dyDescent="0.25">
      <c r="B27" s="58" t="s">
        <v>16</v>
      </c>
      <c r="C27" s="13">
        <v>0</v>
      </c>
      <c r="D27" s="8">
        <v>26</v>
      </c>
      <c r="E27" s="8">
        <v>25</v>
      </c>
      <c r="F27" s="8">
        <v>25</v>
      </c>
      <c r="G27" s="14">
        <v>4</v>
      </c>
      <c r="H27" s="10">
        <f t="shared" si="2"/>
        <v>0.76</v>
      </c>
      <c r="I27" s="57">
        <f t="shared" si="3"/>
        <v>3.04</v>
      </c>
      <c r="K27" s="58" t="s">
        <v>16</v>
      </c>
      <c r="L27" s="13"/>
      <c r="M27" s="8"/>
      <c r="N27" s="8">
        <v>19.5</v>
      </c>
      <c r="O27" s="8">
        <v>19.5</v>
      </c>
      <c r="P27" s="14">
        <v>1.61</v>
      </c>
      <c r="Q27" s="10">
        <f t="shared" si="4"/>
        <v>0.39</v>
      </c>
      <c r="R27" s="57">
        <f t="shared" si="5"/>
        <v>0.62790000000000001</v>
      </c>
    </row>
    <row r="28" spans="2:18" x14ac:dyDescent="0.25">
      <c r="B28" s="58" t="s">
        <v>17</v>
      </c>
      <c r="C28" s="13">
        <v>0</v>
      </c>
      <c r="D28" s="8">
        <v>26</v>
      </c>
      <c r="E28" s="8">
        <v>25</v>
      </c>
      <c r="F28" s="8">
        <v>25</v>
      </c>
      <c r="G28" s="14">
        <v>4</v>
      </c>
      <c r="H28" s="10">
        <f t="shared" si="2"/>
        <v>0.76</v>
      </c>
      <c r="I28" s="57">
        <f t="shared" si="3"/>
        <v>3.04</v>
      </c>
      <c r="K28" s="58" t="s">
        <v>17</v>
      </c>
      <c r="L28" s="13"/>
      <c r="M28" s="8"/>
      <c r="N28" s="8">
        <v>19.5</v>
      </c>
      <c r="O28" s="8">
        <v>19.5</v>
      </c>
      <c r="P28" s="14">
        <v>1.61</v>
      </c>
      <c r="Q28" s="10">
        <f t="shared" si="4"/>
        <v>0.39</v>
      </c>
      <c r="R28" s="57">
        <f t="shared" si="5"/>
        <v>0.62790000000000001</v>
      </c>
    </row>
    <row r="29" spans="2:18" x14ac:dyDescent="0.25">
      <c r="B29" s="58" t="s">
        <v>18</v>
      </c>
      <c r="C29" s="13">
        <v>0</v>
      </c>
      <c r="D29" s="8">
        <v>26</v>
      </c>
      <c r="E29" s="8">
        <v>25</v>
      </c>
      <c r="F29" s="8">
        <v>25</v>
      </c>
      <c r="G29" s="14">
        <v>4</v>
      </c>
      <c r="H29" s="10">
        <f t="shared" si="2"/>
        <v>0.76</v>
      </c>
      <c r="I29" s="57">
        <f t="shared" si="3"/>
        <v>3.04</v>
      </c>
      <c r="K29" s="58" t="s">
        <v>153</v>
      </c>
      <c r="L29" s="13"/>
      <c r="M29" s="8"/>
      <c r="N29" s="8">
        <v>19.5</v>
      </c>
      <c r="O29" s="8"/>
      <c r="P29" s="14">
        <v>1.61</v>
      </c>
      <c r="Q29" s="10">
        <f t="shared" si="4"/>
        <v>0.19500000000000001</v>
      </c>
      <c r="R29" s="57">
        <f t="shared" si="5"/>
        <v>0.31395000000000001</v>
      </c>
    </row>
    <row r="30" spans="2:18" x14ac:dyDescent="0.25">
      <c r="B30" s="58" t="s">
        <v>19</v>
      </c>
      <c r="C30" s="13">
        <v>0</v>
      </c>
      <c r="D30" s="8">
        <v>26</v>
      </c>
      <c r="E30" s="8">
        <v>25</v>
      </c>
      <c r="F30" s="8">
        <v>25</v>
      </c>
      <c r="G30" s="14">
        <v>4</v>
      </c>
      <c r="H30" s="10">
        <f t="shared" si="2"/>
        <v>0.76</v>
      </c>
      <c r="I30" s="57">
        <f t="shared" si="3"/>
        <v>3.04</v>
      </c>
      <c r="K30" s="58" t="s">
        <v>154</v>
      </c>
      <c r="L30" s="13"/>
      <c r="M30" s="8"/>
      <c r="N30" s="8"/>
      <c r="O30" s="8">
        <v>19.5</v>
      </c>
      <c r="P30" s="14">
        <v>0.61</v>
      </c>
      <c r="Q30" s="10">
        <f t="shared" si="4"/>
        <v>0.19500000000000001</v>
      </c>
      <c r="R30" s="57">
        <f t="shared" si="5"/>
        <v>0.11895</v>
      </c>
    </row>
    <row r="31" spans="2:18" x14ac:dyDescent="0.25">
      <c r="B31" s="58" t="s">
        <v>20</v>
      </c>
      <c r="C31" s="13">
        <v>0</v>
      </c>
      <c r="D31" s="8">
        <v>26</v>
      </c>
      <c r="E31" s="8">
        <v>25</v>
      </c>
      <c r="F31" s="8">
        <v>25</v>
      </c>
      <c r="G31" s="14">
        <v>4</v>
      </c>
      <c r="H31" s="10">
        <f t="shared" si="2"/>
        <v>0.76</v>
      </c>
      <c r="I31" s="57">
        <f t="shared" si="3"/>
        <v>3.04</v>
      </c>
      <c r="K31" s="58" t="s">
        <v>19</v>
      </c>
      <c r="L31" s="13"/>
      <c r="M31" s="8"/>
      <c r="N31" s="8">
        <v>19.5</v>
      </c>
      <c r="O31" s="8">
        <v>19.5</v>
      </c>
      <c r="P31" s="14">
        <v>1.61</v>
      </c>
      <c r="Q31" s="10">
        <f t="shared" si="4"/>
        <v>0.39</v>
      </c>
      <c r="R31" s="57">
        <f t="shared" si="5"/>
        <v>0.62790000000000001</v>
      </c>
    </row>
    <row r="32" spans="2:18" x14ac:dyDescent="0.25">
      <c r="B32" s="58" t="s">
        <v>21</v>
      </c>
      <c r="C32" s="13">
        <v>0</v>
      </c>
      <c r="D32" s="8">
        <v>26</v>
      </c>
      <c r="E32" s="8">
        <v>25</v>
      </c>
      <c r="F32" s="8">
        <v>25</v>
      </c>
      <c r="G32" s="14">
        <v>4</v>
      </c>
      <c r="H32" s="10">
        <f t="shared" si="2"/>
        <v>0.76</v>
      </c>
      <c r="I32" s="57">
        <f t="shared" si="3"/>
        <v>3.04</v>
      </c>
      <c r="K32" s="58" t="s">
        <v>20</v>
      </c>
      <c r="L32" s="13"/>
      <c r="M32" s="8"/>
      <c r="N32" s="8">
        <v>19.5</v>
      </c>
      <c r="O32" s="8">
        <v>19.5</v>
      </c>
      <c r="P32" s="14">
        <v>0.61</v>
      </c>
      <c r="Q32" s="10">
        <f t="shared" si="4"/>
        <v>0.39</v>
      </c>
      <c r="R32" s="57">
        <f t="shared" si="5"/>
        <v>0.2379</v>
      </c>
    </row>
    <row r="33" spans="2:18" x14ac:dyDescent="0.25">
      <c r="B33" s="58" t="s">
        <v>22</v>
      </c>
      <c r="C33" s="13">
        <v>0</v>
      </c>
      <c r="D33" s="8">
        <v>26</v>
      </c>
      <c r="E33" s="8">
        <v>25</v>
      </c>
      <c r="F33" s="8">
        <v>25</v>
      </c>
      <c r="G33" s="14">
        <v>4</v>
      </c>
      <c r="H33" s="10">
        <f t="shared" si="2"/>
        <v>0.76</v>
      </c>
      <c r="I33" s="57">
        <f t="shared" si="3"/>
        <v>3.04</v>
      </c>
      <c r="K33" s="58" t="s">
        <v>21</v>
      </c>
      <c r="L33" s="13"/>
      <c r="M33" s="8"/>
      <c r="N33" s="8">
        <v>19.5</v>
      </c>
      <c r="O33" s="8">
        <v>19.5</v>
      </c>
      <c r="P33" s="14">
        <v>1.61</v>
      </c>
      <c r="Q33" s="10">
        <f t="shared" si="4"/>
        <v>0.39</v>
      </c>
      <c r="R33" s="57">
        <f t="shared" si="5"/>
        <v>0.62790000000000001</v>
      </c>
    </row>
    <row r="34" spans="2:18" x14ac:dyDescent="0.25">
      <c r="B34" s="58" t="s">
        <v>23</v>
      </c>
      <c r="C34" s="13">
        <v>0</v>
      </c>
      <c r="D34" s="8">
        <v>26</v>
      </c>
      <c r="E34" s="8">
        <v>25</v>
      </c>
      <c r="F34" s="8">
        <v>25</v>
      </c>
      <c r="G34" s="14">
        <v>4</v>
      </c>
      <c r="H34" s="10">
        <f t="shared" si="2"/>
        <v>0.76</v>
      </c>
      <c r="I34" s="57">
        <f t="shared" si="3"/>
        <v>3.04</v>
      </c>
      <c r="K34" s="58" t="s">
        <v>155</v>
      </c>
      <c r="L34" s="13"/>
      <c r="M34" s="8"/>
      <c r="N34" s="8">
        <v>19.5</v>
      </c>
      <c r="O34" s="8"/>
      <c r="P34" s="14">
        <v>0.61</v>
      </c>
      <c r="Q34" s="10">
        <f t="shared" si="4"/>
        <v>0.19500000000000001</v>
      </c>
      <c r="R34" s="57">
        <f t="shared" si="5"/>
        <v>0.11895</v>
      </c>
    </row>
    <row r="35" spans="2:18" x14ac:dyDescent="0.25">
      <c r="B35" s="58" t="s">
        <v>24</v>
      </c>
      <c r="C35" s="13">
        <v>0</v>
      </c>
      <c r="D35" s="8">
        <v>26</v>
      </c>
      <c r="E35" s="8">
        <v>25</v>
      </c>
      <c r="F35" s="8">
        <v>25</v>
      </c>
      <c r="G35" s="14">
        <v>4</v>
      </c>
      <c r="H35" s="10">
        <f t="shared" si="2"/>
        <v>0.76</v>
      </c>
      <c r="I35" s="57">
        <f t="shared" si="3"/>
        <v>3.04</v>
      </c>
      <c r="K35" s="58" t="s">
        <v>156</v>
      </c>
      <c r="L35" s="13"/>
      <c r="M35" s="8"/>
      <c r="N35" s="8"/>
      <c r="O35" s="8">
        <v>19.5</v>
      </c>
      <c r="P35" s="14">
        <v>1.61</v>
      </c>
      <c r="Q35" s="10">
        <f t="shared" si="4"/>
        <v>0.19500000000000001</v>
      </c>
      <c r="R35" s="57">
        <f t="shared" si="5"/>
        <v>0.31395000000000001</v>
      </c>
    </row>
    <row r="36" spans="2:18" x14ac:dyDescent="0.25">
      <c r="B36" s="58" t="s">
        <v>25</v>
      </c>
      <c r="C36" s="13">
        <v>0</v>
      </c>
      <c r="D36" s="8">
        <v>26</v>
      </c>
      <c r="E36" s="8">
        <v>25</v>
      </c>
      <c r="F36" s="8">
        <v>40.5</v>
      </c>
      <c r="G36" s="14">
        <v>4</v>
      </c>
      <c r="H36" s="10">
        <f t="shared" si="2"/>
        <v>0.91500000000000004</v>
      </c>
      <c r="I36" s="57">
        <f t="shared" si="3"/>
        <v>3.66</v>
      </c>
      <c r="K36" s="58" t="s">
        <v>23</v>
      </c>
      <c r="L36" s="13"/>
      <c r="M36" s="8"/>
      <c r="N36" s="8">
        <v>19.5</v>
      </c>
      <c r="O36" s="8">
        <v>19.5</v>
      </c>
      <c r="P36" s="14">
        <v>1.61</v>
      </c>
      <c r="Q36" s="10">
        <f t="shared" si="4"/>
        <v>0.39</v>
      </c>
      <c r="R36" s="57">
        <f t="shared" si="5"/>
        <v>0.62790000000000001</v>
      </c>
    </row>
    <row r="37" spans="2:18" x14ac:dyDescent="0.25">
      <c r="B37" s="58" t="s">
        <v>27</v>
      </c>
      <c r="C37" s="13">
        <v>0</v>
      </c>
      <c r="D37" s="8">
        <v>26</v>
      </c>
      <c r="E37" s="8">
        <v>40.5</v>
      </c>
      <c r="F37" s="8">
        <v>25</v>
      </c>
      <c r="G37" s="14">
        <v>4</v>
      </c>
      <c r="H37" s="10">
        <f t="shared" si="2"/>
        <v>0.91500000000000004</v>
      </c>
      <c r="I37" s="57">
        <f t="shared" si="3"/>
        <v>3.66</v>
      </c>
      <c r="K37" s="58" t="s">
        <v>24</v>
      </c>
      <c r="L37" s="13"/>
      <c r="M37" s="8"/>
      <c r="N37" s="8">
        <v>19.5</v>
      </c>
      <c r="O37" s="8">
        <v>19.5</v>
      </c>
      <c r="P37" s="14">
        <v>1.61</v>
      </c>
      <c r="Q37" s="10">
        <f t="shared" si="4"/>
        <v>0.39</v>
      </c>
      <c r="R37" s="57">
        <f t="shared" si="5"/>
        <v>0.62790000000000001</v>
      </c>
    </row>
    <row r="38" spans="2:18" x14ac:dyDescent="0.25">
      <c r="B38" s="58" t="s">
        <v>28</v>
      </c>
      <c r="C38" s="13">
        <v>0</v>
      </c>
      <c r="D38" s="8">
        <v>26</v>
      </c>
      <c r="E38" s="8">
        <v>0</v>
      </c>
      <c r="F38" s="8">
        <v>0</v>
      </c>
      <c r="G38" s="14">
        <v>5.47</v>
      </c>
      <c r="H38" s="10">
        <f t="shared" si="2"/>
        <v>0.26</v>
      </c>
      <c r="I38" s="57">
        <f t="shared" si="3"/>
        <v>1.4221999999999999</v>
      </c>
      <c r="K38" s="58" t="s">
        <v>25</v>
      </c>
      <c r="L38" s="13"/>
      <c r="M38" s="8"/>
      <c r="N38" s="8"/>
      <c r="O38" s="8">
        <v>19.5</v>
      </c>
      <c r="P38" s="14">
        <v>1.61</v>
      </c>
      <c r="Q38" s="10">
        <f t="shared" si="4"/>
        <v>0.19500000000000001</v>
      </c>
      <c r="R38" s="57">
        <f t="shared" si="5"/>
        <v>0.31395000000000001</v>
      </c>
    </row>
    <row r="39" spans="2:18" x14ac:dyDescent="0.25">
      <c r="B39" s="58" t="s">
        <v>151</v>
      </c>
      <c r="C39" s="13">
        <v>0</v>
      </c>
      <c r="D39" s="8">
        <v>0</v>
      </c>
      <c r="E39" s="8">
        <v>0</v>
      </c>
      <c r="F39" s="8">
        <v>26</v>
      </c>
      <c r="G39" s="14">
        <v>5.47</v>
      </c>
      <c r="H39" s="10">
        <f t="shared" si="2"/>
        <v>0.26</v>
      </c>
      <c r="I39" s="57">
        <f t="shared" si="3"/>
        <v>1.4221999999999999</v>
      </c>
      <c r="K39" s="58" t="s">
        <v>27</v>
      </c>
      <c r="L39" s="13"/>
      <c r="M39" s="8"/>
      <c r="N39" s="8"/>
      <c r="O39" s="8">
        <v>19.5</v>
      </c>
      <c r="P39" s="14">
        <v>1.61</v>
      </c>
      <c r="Q39" s="10">
        <f t="shared" si="4"/>
        <v>0.19500000000000001</v>
      </c>
      <c r="R39" s="57">
        <f t="shared" si="5"/>
        <v>0.31395000000000001</v>
      </c>
    </row>
    <row r="40" spans="2:18" x14ac:dyDescent="0.25">
      <c r="B40" s="58" t="s">
        <v>32</v>
      </c>
      <c r="C40" s="13">
        <v>0</v>
      </c>
      <c r="D40" s="8">
        <v>26</v>
      </c>
      <c r="E40" s="8">
        <v>15</v>
      </c>
      <c r="F40" s="8">
        <v>15</v>
      </c>
      <c r="G40" s="14">
        <v>5.47</v>
      </c>
      <c r="H40" s="10">
        <f t="shared" si="2"/>
        <v>0.56000000000000005</v>
      </c>
      <c r="I40" s="57">
        <f t="shared" si="3"/>
        <v>3.0632000000000001</v>
      </c>
      <c r="K40" s="58" t="s">
        <v>28</v>
      </c>
      <c r="L40" s="13"/>
      <c r="M40" s="8"/>
      <c r="N40" s="8"/>
      <c r="O40" s="8">
        <v>19.5</v>
      </c>
      <c r="P40" s="14">
        <v>0.61</v>
      </c>
      <c r="Q40" s="10">
        <f t="shared" si="4"/>
        <v>0.19500000000000001</v>
      </c>
      <c r="R40" s="57">
        <f t="shared" si="5"/>
        <v>0.11895</v>
      </c>
    </row>
    <row r="41" spans="2:18" x14ac:dyDescent="0.25">
      <c r="B41" s="58" t="s">
        <v>31</v>
      </c>
      <c r="C41" s="13">
        <v>0</v>
      </c>
      <c r="D41" s="8">
        <v>26</v>
      </c>
      <c r="E41" s="8">
        <v>14.75</v>
      </c>
      <c r="F41" s="8">
        <v>14.75</v>
      </c>
      <c r="G41" s="14">
        <v>5.47</v>
      </c>
      <c r="H41" s="10">
        <f t="shared" si="2"/>
        <v>0.55500000000000005</v>
      </c>
      <c r="I41" s="57">
        <f t="shared" si="3"/>
        <v>3.0358499999999999</v>
      </c>
      <c r="K41" s="58" t="s">
        <v>151</v>
      </c>
      <c r="L41" s="13"/>
      <c r="M41" s="8"/>
      <c r="N41" s="8">
        <v>19.5</v>
      </c>
      <c r="O41" s="8"/>
      <c r="P41" s="14">
        <v>1.61</v>
      </c>
      <c r="Q41" s="10">
        <f t="shared" si="4"/>
        <v>0.19500000000000001</v>
      </c>
      <c r="R41" s="57">
        <f t="shared" si="5"/>
        <v>0.31395000000000001</v>
      </c>
    </row>
    <row r="42" spans="2:18" x14ac:dyDescent="0.25">
      <c r="B42" s="58" t="s">
        <v>34</v>
      </c>
      <c r="C42" s="13">
        <v>0</v>
      </c>
      <c r="D42" s="8">
        <v>26</v>
      </c>
      <c r="E42" s="8">
        <v>15</v>
      </c>
      <c r="F42" s="8">
        <v>15</v>
      </c>
      <c r="G42" s="14">
        <v>5.47</v>
      </c>
      <c r="H42" s="10">
        <f t="shared" si="2"/>
        <v>0.56000000000000005</v>
      </c>
      <c r="I42" s="57">
        <f t="shared" si="3"/>
        <v>3.0632000000000001</v>
      </c>
      <c r="K42" s="58" t="s">
        <v>32</v>
      </c>
      <c r="L42" s="13"/>
      <c r="M42" s="8"/>
      <c r="N42" s="8">
        <v>19.5</v>
      </c>
      <c r="O42" s="8"/>
      <c r="P42" s="14">
        <v>0.61</v>
      </c>
      <c r="Q42" s="10">
        <f t="shared" si="4"/>
        <v>0.19500000000000001</v>
      </c>
      <c r="R42" s="57">
        <f t="shared" si="5"/>
        <v>0.11895</v>
      </c>
    </row>
    <row r="43" spans="2:18" x14ac:dyDescent="0.25">
      <c r="B43" s="58" t="s">
        <v>33</v>
      </c>
      <c r="C43" s="13">
        <v>0</v>
      </c>
      <c r="D43" s="8">
        <v>26</v>
      </c>
      <c r="E43" s="8">
        <v>14.75</v>
      </c>
      <c r="F43" s="8">
        <v>14.75</v>
      </c>
      <c r="G43" s="14">
        <v>5.47</v>
      </c>
      <c r="H43" s="10">
        <f t="shared" si="2"/>
        <v>0.55500000000000005</v>
      </c>
      <c r="I43" s="57">
        <f t="shared" si="3"/>
        <v>3.0358499999999999</v>
      </c>
      <c r="K43" s="58" t="s">
        <v>31</v>
      </c>
      <c r="L43" s="13"/>
      <c r="M43" s="8"/>
      <c r="N43" s="8"/>
      <c r="O43" s="8">
        <v>19.5</v>
      </c>
      <c r="P43" s="14">
        <v>1.61</v>
      </c>
      <c r="Q43" s="10">
        <f t="shared" si="4"/>
        <v>0.19500000000000001</v>
      </c>
      <c r="R43" s="57">
        <f t="shared" si="5"/>
        <v>0.31395000000000001</v>
      </c>
    </row>
    <row r="44" spans="2:18" x14ac:dyDescent="0.25">
      <c r="B44" s="58" t="s">
        <v>37</v>
      </c>
      <c r="C44" s="13">
        <v>0</v>
      </c>
      <c r="D44" s="8">
        <v>26</v>
      </c>
      <c r="E44" s="8">
        <v>0</v>
      </c>
      <c r="F44" s="8">
        <v>0</v>
      </c>
      <c r="G44" s="14">
        <v>5.47</v>
      </c>
      <c r="H44" s="10">
        <f t="shared" si="2"/>
        <v>0.26</v>
      </c>
      <c r="I44" s="57">
        <f t="shared" si="3"/>
        <v>1.4221999999999999</v>
      </c>
      <c r="K44" s="58" t="s">
        <v>34</v>
      </c>
      <c r="L44" s="13"/>
      <c r="M44" s="8"/>
      <c r="N44" s="8"/>
      <c r="O44" s="8">
        <v>19.5</v>
      </c>
      <c r="P44" s="14">
        <v>1.61</v>
      </c>
      <c r="Q44" s="10">
        <f t="shared" si="4"/>
        <v>0.19500000000000001</v>
      </c>
      <c r="R44" s="57">
        <f t="shared" si="5"/>
        <v>0.31395000000000001</v>
      </c>
    </row>
    <row r="45" spans="2:18" x14ac:dyDescent="0.25">
      <c r="B45" s="58" t="s">
        <v>152</v>
      </c>
      <c r="C45" s="13">
        <v>0</v>
      </c>
      <c r="D45" s="8">
        <v>0</v>
      </c>
      <c r="E45" s="8">
        <v>0</v>
      </c>
      <c r="F45" s="8">
        <v>26</v>
      </c>
      <c r="G45" s="14">
        <v>5.47</v>
      </c>
      <c r="H45" s="10">
        <f t="shared" si="2"/>
        <v>0.26</v>
      </c>
      <c r="I45" s="57">
        <f t="shared" si="3"/>
        <v>1.4221999999999999</v>
      </c>
      <c r="K45" s="58" t="s">
        <v>33</v>
      </c>
      <c r="L45" s="13"/>
      <c r="M45" s="8"/>
      <c r="N45" s="8">
        <v>19.5</v>
      </c>
      <c r="O45" s="8"/>
      <c r="P45" s="14">
        <v>1.61</v>
      </c>
      <c r="Q45" s="10">
        <f t="shared" si="4"/>
        <v>0.19500000000000001</v>
      </c>
      <c r="R45" s="57">
        <f t="shared" si="5"/>
        <v>0.31395000000000001</v>
      </c>
    </row>
    <row r="46" spans="2:18" x14ac:dyDescent="0.25">
      <c r="B46" s="58" t="s">
        <v>40</v>
      </c>
      <c r="C46" s="13">
        <v>0</v>
      </c>
      <c r="D46" s="8">
        <v>26</v>
      </c>
      <c r="E46" s="8">
        <v>40.5</v>
      </c>
      <c r="F46" s="8">
        <v>25</v>
      </c>
      <c r="G46" s="14">
        <v>4</v>
      </c>
      <c r="H46" s="10">
        <f t="shared" si="2"/>
        <v>0.91500000000000004</v>
      </c>
      <c r="I46" s="57">
        <f t="shared" si="3"/>
        <v>3.66</v>
      </c>
      <c r="K46" s="58" t="s">
        <v>37</v>
      </c>
      <c r="L46" s="13"/>
      <c r="M46" s="8"/>
      <c r="N46" s="8">
        <v>19.5</v>
      </c>
      <c r="O46" s="8"/>
      <c r="P46" s="14">
        <v>1.61</v>
      </c>
      <c r="Q46" s="10">
        <f t="shared" si="4"/>
        <v>0.19500000000000001</v>
      </c>
      <c r="R46" s="57">
        <f t="shared" si="5"/>
        <v>0.31395000000000001</v>
      </c>
    </row>
    <row r="47" spans="2:18" x14ac:dyDescent="0.25">
      <c r="B47" s="58" t="s">
        <v>38</v>
      </c>
      <c r="C47" s="13">
        <v>0</v>
      </c>
      <c r="D47" s="8">
        <v>26</v>
      </c>
      <c r="E47" s="8">
        <v>25.25</v>
      </c>
      <c r="F47" s="8">
        <v>40.5</v>
      </c>
      <c r="G47" s="14">
        <v>4</v>
      </c>
      <c r="H47" s="10">
        <f t="shared" si="2"/>
        <v>0.91749999999999998</v>
      </c>
      <c r="I47" s="57">
        <f t="shared" si="3"/>
        <v>3.67</v>
      </c>
      <c r="K47" s="58" t="s">
        <v>152</v>
      </c>
      <c r="L47" s="13"/>
      <c r="M47" s="8"/>
      <c r="N47" s="8"/>
      <c r="O47" s="8">
        <v>19.5</v>
      </c>
      <c r="P47" s="14">
        <v>1.61</v>
      </c>
      <c r="Q47" s="10">
        <f t="shared" si="4"/>
        <v>0.19500000000000001</v>
      </c>
      <c r="R47" s="57">
        <f t="shared" si="5"/>
        <v>0.31395000000000001</v>
      </c>
    </row>
    <row r="48" spans="2:18" x14ac:dyDescent="0.25">
      <c r="B48" s="58" t="s">
        <v>42</v>
      </c>
      <c r="C48" s="13">
        <v>0</v>
      </c>
      <c r="D48" s="8">
        <v>26</v>
      </c>
      <c r="E48" s="8">
        <v>25</v>
      </c>
      <c r="F48" s="8">
        <v>25</v>
      </c>
      <c r="G48" s="14">
        <v>4</v>
      </c>
      <c r="H48" s="10">
        <f t="shared" si="2"/>
        <v>0.76</v>
      </c>
      <c r="I48" s="57">
        <f t="shared" si="3"/>
        <v>3.04</v>
      </c>
      <c r="K48" s="58" t="s">
        <v>40</v>
      </c>
      <c r="L48" s="13"/>
      <c r="M48" s="8"/>
      <c r="N48" s="8"/>
      <c r="O48" s="8">
        <v>19.5</v>
      </c>
      <c r="P48" s="14">
        <v>1.61</v>
      </c>
      <c r="Q48" s="10">
        <f t="shared" si="4"/>
        <v>0.19500000000000001</v>
      </c>
      <c r="R48" s="57">
        <f t="shared" si="5"/>
        <v>0.31395000000000001</v>
      </c>
    </row>
    <row r="49" spans="2:18" x14ac:dyDescent="0.25">
      <c r="B49" s="58" t="s">
        <v>41</v>
      </c>
      <c r="C49" s="13">
        <v>0</v>
      </c>
      <c r="D49" s="8">
        <v>26</v>
      </c>
      <c r="E49" s="8">
        <v>25</v>
      </c>
      <c r="F49" s="8">
        <v>25</v>
      </c>
      <c r="G49" s="14">
        <v>4</v>
      </c>
      <c r="H49" s="10">
        <f t="shared" si="2"/>
        <v>0.76</v>
      </c>
      <c r="I49" s="57">
        <f t="shared" si="3"/>
        <v>3.04</v>
      </c>
      <c r="K49" s="58" t="s">
        <v>38</v>
      </c>
      <c r="L49" s="13"/>
      <c r="M49" s="8"/>
      <c r="N49" s="8"/>
      <c r="O49" s="8">
        <v>19.5</v>
      </c>
      <c r="P49" s="14">
        <v>1.61</v>
      </c>
      <c r="Q49" s="10">
        <f t="shared" si="4"/>
        <v>0.19500000000000001</v>
      </c>
      <c r="R49" s="57">
        <f t="shared" si="5"/>
        <v>0.31395000000000001</v>
      </c>
    </row>
    <row r="50" spans="2:18" x14ac:dyDescent="0.25">
      <c r="B50" s="58" t="s">
        <v>44</v>
      </c>
      <c r="C50" s="13">
        <v>0</v>
      </c>
      <c r="D50" s="8">
        <v>26</v>
      </c>
      <c r="E50" s="8">
        <v>25</v>
      </c>
      <c r="F50" s="8">
        <v>25</v>
      </c>
      <c r="G50" s="14">
        <v>4</v>
      </c>
      <c r="H50" s="10">
        <f t="shared" si="2"/>
        <v>0.76</v>
      </c>
      <c r="I50" s="57">
        <f t="shared" si="3"/>
        <v>3.04</v>
      </c>
      <c r="K50" s="58" t="s">
        <v>42</v>
      </c>
      <c r="L50" s="13"/>
      <c r="M50" s="8"/>
      <c r="N50" s="8">
        <v>19.5</v>
      </c>
      <c r="O50" s="8">
        <v>19.5</v>
      </c>
      <c r="P50" s="14">
        <v>1.61</v>
      </c>
      <c r="Q50" s="10">
        <f t="shared" si="4"/>
        <v>0.39</v>
      </c>
      <c r="R50" s="57">
        <f t="shared" si="5"/>
        <v>0.62790000000000001</v>
      </c>
    </row>
    <row r="51" spans="2:18" x14ac:dyDescent="0.25">
      <c r="B51" s="58" t="s">
        <v>43</v>
      </c>
      <c r="C51" s="13">
        <v>0</v>
      </c>
      <c r="D51" s="8">
        <v>26</v>
      </c>
      <c r="E51" s="8">
        <v>25</v>
      </c>
      <c r="F51" s="8">
        <v>25</v>
      </c>
      <c r="G51" s="14">
        <v>4</v>
      </c>
      <c r="H51" s="10">
        <f t="shared" si="2"/>
        <v>0.76</v>
      </c>
      <c r="I51" s="57">
        <f t="shared" si="3"/>
        <v>3.04</v>
      </c>
      <c r="K51" s="58" t="s">
        <v>41</v>
      </c>
      <c r="L51" s="13"/>
      <c r="M51" s="8"/>
      <c r="N51" s="8">
        <v>19.5</v>
      </c>
      <c r="O51" s="8">
        <v>19.5</v>
      </c>
      <c r="P51" s="14">
        <v>1.61</v>
      </c>
      <c r="Q51" s="10">
        <f t="shared" si="4"/>
        <v>0.39</v>
      </c>
      <c r="R51" s="57">
        <f t="shared" si="5"/>
        <v>0.62790000000000001</v>
      </c>
    </row>
    <row r="52" spans="2:18" x14ac:dyDescent="0.25">
      <c r="B52" s="58" t="s">
        <v>46</v>
      </c>
      <c r="C52" s="13">
        <v>0</v>
      </c>
      <c r="D52" s="8">
        <v>26</v>
      </c>
      <c r="E52" s="8">
        <v>25</v>
      </c>
      <c r="F52" s="8">
        <v>25</v>
      </c>
      <c r="G52" s="14">
        <v>4</v>
      </c>
      <c r="H52" s="10">
        <f t="shared" si="2"/>
        <v>0.76</v>
      </c>
      <c r="I52" s="57">
        <f t="shared" si="3"/>
        <v>3.04</v>
      </c>
      <c r="K52" s="58" t="s">
        <v>44</v>
      </c>
      <c r="L52" s="13"/>
      <c r="M52" s="8"/>
      <c r="N52" s="8">
        <v>19.5</v>
      </c>
      <c r="O52" s="8">
        <v>19.5</v>
      </c>
      <c r="P52" s="14">
        <v>1.61</v>
      </c>
      <c r="Q52" s="10">
        <f t="shared" si="4"/>
        <v>0.39</v>
      </c>
      <c r="R52" s="57">
        <f t="shared" si="5"/>
        <v>0.62790000000000001</v>
      </c>
    </row>
    <row r="53" spans="2:18" x14ac:dyDescent="0.25">
      <c r="B53" s="58" t="s">
        <v>45</v>
      </c>
      <c r="C53" s="13">
        <v>0</v>
      </c>
      <c r="D53" s="8">
        <v>26</v>
      </c>
      <c r="E53" s="8">
        <v>25</v>
      </c>
      <c r="F53" s="8">
        <v>25</v>
      </c>
      <c r="G53" s="14">
        <v>4</v>
      </c>
      <c r="H53" s="10">
        <f t="shared" si="2"/>
        <v>0.76</v>
      </c>
      <c r="I53" s="57">
        <f t="shared" si="3"/>
        <v>3.04</v>
      </c>
      <c r="K53" s="58" t="s">
        <v>157</v>
      </c>
      <c r="L53" s="13"/>
      <c r="M53" s="8"/>
      <c r="N53" s="8">
        <v>19.5</v>
      </c>
      <c r="O53" s="8"/>
      <c r="P53" s="14">
        <v>0.61</v>
      </c>
      <c r="Q53" s="10">
        <f t="shared" si="4"/>
        <v>0.19500000000000001</v>
      </c>
      <c r="R53" s="57">
        <f t="shared" si="5"/>
        <v>0.11895</v>
      </c>
    </row>
    <row r="54" spans="2:18" x14ac:dyDescent="0.25">
      <c r="B54" s="58" t="s">
        <v>48</v>
      </c>
      <c r="C54" s="13">
        <v>0</v>
      </c>
      <c r="D54" s="8">
        <v>26</v>
      </c>
      <c r="E54" s="8">
        <v>25</v>
      </c>
      <c r="F54" s="8">
        <v>25</v>
      </c>
      <c r="G54" s="14">
        <v>4</v>
      </c>
      <c r="H54" s="10">
        <f t="shared" si="2"/>
        <v>0.76</v>
      </c>
      <c r="I54" s="57">
        <f t="shared" si="3"/>
        <v>3.04</v>
      </c>
      <c r="K54" s="58" t="s">
        <v>158</v>
      </c>
      <c r="L54" s="13"/>
      <c r="M54" s="8"/>
      <c r="N54" s="8"/>
      <c r="O54" s="8">
        <v>19.5</v>
      </c>
      <c r="P54" s="14">
        <v>1.61</v>
      </c>
      <c r="Q54" s="10">
        <f t="shared" si="4"/>
        <v>0.19500000000000001</v>
      </c>
      <c r="R54" s="57">
        <f t="shared" si="5"/>
        <v>0.31395000000000001</v>
      </c>
    </row>
    <row r="55" spans="2:18" x14ac:dyDescent="0.25">
      <c r="B55" s="58" t="s">
        <v>47</v>
      </c>
      <c r="C55" s="13">
        <v>0</v>
      </c>
      <c r="D55" s="8">
        <v>26</v>
      </c>
      <c r="E55" s="8">
        <v>25</v>
      </c>
      <c r="F55" s="8">
        <v>25</v>
      </c>
      <c r="G55" s="14">
        <v>4</v>
      </c>
      <c r="H55" s="10">
        <f t="shared" si="2"/>
        <v>0.76</v>
      </c>
      <c r="I55" s="57">
        <f t="shared" si="3"/>
        <v>3.04</v>
      </c>
      <c r="K55" s="58" t="s">
        <v>46</v>
      </c>
      <c r="L55" s="13"/>
      <c r="M55" s="8"/>
      <c r="N55" s="8">
        <v>19.5</v>
      </c>
      <c r="O55" s="8">
        <v>19.5</v>
      </c>
      <c r="P55" s="14">
        <v>1.61</v>
      </c>
      <c r="Q55" s="10">
        <f t="shared" si="4"/>
        <v>0.39</v>
      </c>
      <c r="R55" s="57">
        <f t="shared" si="5"/>
        <v>0.62790000000000001</v>
      </c>
    </row>
    <row r="56" spans="2:18" x14ac:dyDescent="0.25">
      <c r="B56" s="58" t="s">
        <v>50</v>
      </c>
      <c r="C56" s="13">
        <v>0</v>
      </c>
      <c r="D56" s="8">
        <v>26</v>
      </c>
      <c r="E56" s="8">
        <v>40.5</v>
      </c>
      <c r="F56" s="8">
        <v>25</v>
      </c>
      <c r="G56" s="14">
        <v>4</v>
      </c>
      <c r="H56" s="10">
        <f t="shared" si="2"/>
        <v>0.91500000000000004</v>
      </c>
      <c r="I56" s="57">
        <f t="shared" si="3"/>
        <v>3.66</v>
      </c>
      <c r="K56" s="58" t="s">
        <v>45</v>
      </c>
      <c r="L56" s="13"/>
      <c r="M56" s="8"/>
      <c r="N56" s="8">
        <v>19.5</v>
      </c>
      <c r="O56" s="8">
        <v>19.5</v>
      </c>
      <c r="P56" s="14">
        <v>0.61</v>
      </c>
      <c r="Q56" s="10">
        <f t="shared" si="4"/>
        <v>0.39</v>
      </c>
      <c r="R56" s="57">
        <f t="shared" si="5"/>
        <v>0.2379</v>
      </c>
    </row>
    <row r="57" spans="2:18" x14ac:dyDescent="0.25">
      <c r="B57" s="58" t="s">
        <v>49</v>
      </c>
      <c r="C57" s="13">
        <v>0</v>
      </c>
      <c r="D57" s="8">
        <v>26</v>
      </c>
      <c r="E57" s="8">
        <v>40.5</v>
      </c>
      <c r="F57" s="8">
        <v>25</v>
      </c>
      <c r="G57" s="14">
        <v>4</v>
      </c>
      <c r="H57" s="10">
        <f t="shared" si="2"/>
        <v>0.91500000000000004</v>
      </c>
      <c r="I57" s="57">
        <f t="shared" si="3"/>
        <v>3.66</v>
      </c>
      <c r="K57" s="58" t="s">
        <v>159</v>
      </c>
      <c r="L57" s="13"/>
      <c r="M57" s="8"/>
      <c r="N57" s="8">
        <v>19.5</v>
      </c>
      <c r="O57" s="8"/>
      <c r="P57" s="14">
        <v>0.61</v>
      </c>
      <c r="Q57" s="10">
        <f t="shared" si="4"/>
        <v>0.19500000000000001</v>
      </c>
      <c r="R57" s="57">
        <f t="shared" si="5"/>
        <v>0.11895</v>
      </c>
    </row>
    <row r="58" spans="2:18" x14ac:dyDescent="0.25">
      <c r="B58" s="58"/>
      <c r="C58" s="13"/>
      <c r="D58" s="8"/>
      <c r="E58" s="8"/>
      <c r="F58" s="8"/>
      <c r="G58" s="14"/>
      <c r="H58" s="10"/>
      <c r="I58" s="57"/>
      <c r="K58" s="58" t="s">
        <v>160</v>
      </c>
      <c r="L58" s="13"/>
      <c r="M58" s="8"/>
      <c r="N58" s="8"/>
      <c r="O58" s="8">
        <v>19.5</v>
      </c>
      <c r="P58" s="14">
        <v>1.61</v>
      </c>
      <c r="Q58" s="10">
        <f t="shared" si="4"/>
        <v>0.19500000000000001</v>
      </c>
      <c r="R58" s="57">
        <f t="shared" si="5"/>
        <v>0.31395000000000001</v>
      </c>
    </row>
    <row r="59" spans="2:18" ht="15.75" thickBot="1" x14ac:dyDescent="0.3">
      <c r="B59" s="59"/>
      <c r="C59" s="16"/>
      <c r="D59" s="17"/>
      <c r="E59" s="17"/>
      <c r="F59" s="17"/>
      <c r="G59" s="18"/>
      <c r="H59" s="19"/>
      <c r="I59" s="60"/>
      <c r="K59" s="58" t="s">
        <v>161</v>
      </c>
      <c r="L59" s="13"/>
      <c r="M59" s="8"/>
      <c r="N59" s="8">
        <v>19.5</v>
      </c>
      <c r="O59" s="8"/>
      <c r="P59" s="14">
        <v>0.61</v>
      </c>
      <c r="Q59" s="10">
        <f t="shared" si="4"/>
        <v>0.19500000000000001</v>
      </c>
      <c r="R59" s="57">
        <f t="shared" si="5"/>
        <v>0.11895</v>
      </c>
    </row>
    <row r="60" spans="2:18" x14ac:dyDescent="0.25">
      <c r="K60" s="58" t="s">
        <v>162</v>
      </c>
      <c r="L60" s="13"/>
      <c r="M60" s="8"/>
      <c r="N60" s="8"/>
      <c r="O60" s="8">
        <v>19.5</v>
      </c>
      <c r="P60" s="14">
        <v>1.61</v>
      </c>
      <c r="Q60" s="10">
        <f t="shared" si="4"/>
        <v>0.19500000000000001</v>
      </c>
      <c r="R60" s="57">
        <f t="shared" si="5"/>
        <v>0.31395000000000001</v>
      </c>
    </row>
    <row r="61" spans="2:18" x14ac:dyDescent="0.25">
      <c r="K61" s="58" t="s">
        <v>50</v>
      </c>
      <c r="L61" s="13"/>
      <c r="M61" s="8"/>
      <c r="N61" s="8"/>
      <c r="O61" s="8">
        <v>19.5</v>
      </c>
      <c r="P61" s="14">
        <v>0.61</v>
      </c>
      <c r="Q61" s="10">
        <f t="shared" si="4"/>
        <v>0.19500000000000001</v>
      </c>
      <c r="R61" s="57">
        <f t="shared" si="5"/>
        <v>0.11895</v>
      </c>
    </row>
    <row r="62" spans="2:18" x14ac:dyDescent="0.25">
      <c r="K62" s="58" t="s">
        <v>49</v>
      </c>
      <c r="L62" s="13"/>
      <c r="M62" s="8"/>
      <c r="N62" s="8"/>
      <c r="O62" s="8">
        <v>19.5</v>
      </c>
      <c r="P62" s="14">
        <v>1.61</v>
      </c>
      <c r="Q62" s="10">
        <f t="shared" si="4"/>
        <v>0.19500000000000001</v>
      </c>
      <c r="R62" s="57">
        <f t="shared" si="5"/>
        <v>0.31395000000000001</v>
      </c>
    </row>
    <row r="63" spans="2:18" x14ac:dyDescent="0.25">
      <c r="K63" s="58"/>
      <c r="L63" s="13"/>
      <c r="M63" s="8"/>
      <c r="N63" s="8"/>
      <c r="O63" s="8"/>
      <c r="P63" s="14"/>
      <c r="Q63" s="10"/>
      <c r="R63" s="57"/>
    </row>
    <row r="64" spans="2:18" ht="15.75" thickBot="1" x14ac:dyDescent="0.3">
      <c r="K64" s="59"/>
      <c r="L64" s="16"/>
      <c r="M64" s="17"/>
      <c r="N64" s="17"/>
      <c r="O64" s="17"/>
      <c r="P64" s="18"/>
      <c r="Q64" s="19"/>
      <c r="R64" s="60"/>
    </row>
    <row r="67" spans="2:18" ht="15.75" thickBot="1" x14ac:dyDescent="0.3">
      <c r="B67" s="23" t="s">
        <v>87</v>
      </c>
      <c r="C67" s="23"/>
      <c r="D67" s="23"/>
      <c r="E67" s="23"/>
      <c r="F67" s="23"/>
      <c r="G67" s="23"/>
      <c r="H67" s="23"/>
      <c r="I67" s="23"/>
      <c r="K67" s="23" t="s">
        <v>111</v>
      </c>
      <c r="L67" s="23"/>
      <c r="M67" s="23"/>
      <c r="N67" s="23"/>
      <c r="O67" s="23"/>
      <c r="P67" s="23"/>
      <c r="Q67" s="23"/>
      <c r="R67" s="23"/>
    </row>
    <row r="68" spans="2:18" ht="15.75" thickBot="1" x14ac:dyDescent="0.3">
      <c r="B68" s="1" t="s">
        <v>88</v>
      </c>
      <c r="C68" s="2" t="s">
        <v>1</v>
      </c>
      <c r="D68" s="3" t="s">
        <v>2</v>
      </c>
      <c r="E68" s="3" t="s">
        <v>3</v>
      </c>
      <c r="F68" s="3" t="s">
        <v>11</v>
      </c>
      <c r="G68" s="3" t="s">
        <v>4</v>
      </c>
      <c r="H68" s="2" t="s">
        <v>5</v>
      </c>
      <c r="I68" s="4" t="s">
        <v>6</v>
      </c>
      <c r="K68" s="1" t="s">
        <v>88</v>
      </c>
      <c r="L68" s="2" t="s">
        <v>1</v>
      </c>
      <c r="M68" s="3" t="s">
        <v>2</v>
      </c>
      <c r="N68" s="3" t="s">
        <v>3</v>
      </c>
      <c r="O68" s="3" t="s">
        <v>11</v>
      </c>
      <c r="P68" s="3" t="s">
        <v>4</v>
      </c>
      <c r="Q68" s="2" t="s">
        <v>5</v>
      </c>
      <c r="R68" s="4" t="s">
        <v>6</v>
      </c>
    </row>
    <row r="69" spans="2:18" x14ac:dyDescent="0.25">
      <c r="B69" s="24" t="s">
        <v>89</v>
      </c>
      <c r="C69" s="25"/>
      <c r="D69" s="26"/>
      <c r="E69" s="26"/>
      <c r="F69" s="26"/>
      <c r="G69" s="27"/>
      <c r="H69" s="28"/>
      <c r="I69" s="29"/>
      <c r="K69" s="24" t="s">
        <v>107</v>
      </c>
      <c r="L69" s="25"/>
      <c r="M69" s="26"/>
      <c r="N69" s="26"/>
      <c r="O69" s="26"/>
      <c r="P69" s="27"/>
      <c r="Q69" s="28"/>
      <c r="R69" s="29"/>
    </row>
    <row r="70" spans="2:18" x14ac:dyDescent="0.25">
      <c r="B70" s="30" t="s">
        <v>90</v>
      </c>
      <c r="C70" s="13">
        <v>40</v>
      </c>
      <c r="D70" s="8">
        <v>21</v>
      </c>
      <c r="E70" s="8"/>
      <c r="F70" s="8"/>
      <c r="G70" s="14"/>
      <c r="H70" s="10"/>
      <c r="I70" s="11">
        <f>C70*D70/10000</f>
        <v>8.4000000000000005E-2</v>
      </c>
      <c r="K70" s="30" t="s">
        <v>163</v>
      </c>
      <c r="L70" s="13"/>
      <c r="M70" s="8"/>
      <c r="N70" s="8"/>
      <c r="O70" s="8">
        <v>40</v>
      </c>
      <c r="P70" s="14">
        <v>0.21</v>
      </c>
      <c r="Q70" s="10">
        <f t="shared" ref="Q70:Q74" si="6">(L70+M70+N70+O70)/100</f>
        <v>0.4</v>
      </c>
      <c r="R70" s="11">
        <f t="shared" ref="R70:R74" si="7">Q70*P70</f>
        <v>8.4000000000000005E-2</v>
      </c>
    </row>
    <row r="71" spans="2:18" x14ac:dyDescent="0.25">
      <c r="B71" s="30" t="s">
        <v>91</v>
      </c>
      <c r="C71" s="13"/>
      <c r="D71" s="8">
        <v>21</v>
      </c>
      <c r="E71" s="8">
        <v>40</v>
      </c>
      <c r="F71" s="8">
        <v>40</v>
      </c>
      <c r="G71" s="14">
        <v>1.2</v>
      </c>
      <c r="H71" s="10">
        <f>(E71+D71+F71)/100</f>
        <v>1.01</v>
      </c>
      <c r="I71" s="11">
        <f>H71*G71</f>
        <v>1.212</v>
      </c>
      <c r="K71" s="30" t="s">
        <v>164</v>
      </c>
      <c r="L71" s="13"/>
      <c r="M71" s="8"/>
      <c r="N71" s="8"/>
      <c r="O71" s="8">
        <f>(58.17+79.2)/2</f>
        <v>68.685000000000002</v>
      </c>
      <c r="P71" s="14">
        <v>4.7125000000000004</v>
      </c>
      <c r="Q71" s="10">
        <f t="shared" si="6"/>
        <v>0.68685000000000007</v>
      </c>
      <c r="R71" s="11">
        <f t="shared" si="7"/>
        <v>3.2367806250000006</v>
      </c>
    </row>
    <row r="72" spans="2:18" x14ac:dyDescent="0.25">
      <c r="B72" s="30" t="s">
        <v>92</v>
      </c>
      <c r="C72" s="13"/>
      <c r="D72" s="8">
        <v>25</v>
      </c>
      <c r="E72" s="8">
        <v>80</v>
      </c>
      <c r="F72" s="8"/>
      <c r="G72" s="14">
        <v>36.06</v>
      </c>
      <c r="H72" s="10">
        <f>(E72+D72)/100</f>
        <v>1.05</v>
      </c>
      <c r="I72" s="11">
        <f>H72*G72</f>
        <v>37.863000000000007</v>
      </c>
      <c r="K72" s="30" t="s">
        <v>76</v>
      </c>
      <c r="L72" s="13"/>
      <c r="M72" s="8"/>
      <c r="N72" s="8"/>
      <c r="O72" s="8">
        <v>15</v>
      </c>
      <c r="P72" s="14">
        <v>2.46</v>
      </c>
      <c r="Q72" s="10">
        <f t="shared" si="6"/>
        <v>0.15</v>
      </c>
      <c r="R72" s="11">
        <f t="shared" si="7"/>
        <v>0.36899999999999999</v>
      </c>
    </row>
    <row r="73" spans="2:18" x14ac:dyDescent="0.25">
      <c r="B73" s="30" t="s">
        <v>93</v>
      </c>
      <c r="C73" s="13"/>
      <c r="D73" s="8">
        <v>25</v>
      </c>
      <c r="E73" s="8">
        <v>80</v>
      </c>
      <c r="F73" s="8"/>
      <c r="G73" s="14">
        <v>36.06</v>
      </c>
      <c r="H73" s="10">
        <f>(E73+D73)/100</f>
        <v>1.05</v>
      </c>
      <c r="I73" s="11">
        <f>H73*G73</f>
        <v>37.863000000000007</v>
      </c>
      <c r="K73" s="30" t="s">
        <v>165</v>
      </c>
      <c r="L73" s="13"/>
      <c r="M73" s="8"/>
      <c r="N73" s="8"/>
      <c r="O73" s="8">
        <f>(58.17+79.2)/2</f>
        <v>68.685000000000002</v>
      </c>
      <c r="P73" s="14">
        <v>5.1675000000000004</v>
      </c>
      <c r="Q73" s="10">
        <f t="shared" si="6"/>
        <v>0.68685000000000007</v>
      </c>
      <c r="R73" s="11">
        <f t="shared" si="7"/>
        <v>3.5492973750000005</v>
      </c>
    </row>
    <row r="74" spans="2:18" x14ac:dyDescent="0.25">
      <c r="B74" s="30" t="s">
        <v>94</v>
      </c>
      <c r="C74" s="13"/>
      <c r="D74" s="8">
        <v>21</v>
      </c>
      <c r="E74" s="8">
        <v>40</v>
      </c>
      <c r="F74" s="8">
        <v>40</v>
      </c>
      <c r="G74" s="14">
        <v>1.2</v>
      </c>
      <c r="H74" s="10">
        <f>(E74+D74)/100</f>
        <v>0.61</v>
      </c>
      <c r="I74" s="11">
        <f>H74*G74</f>
        <v>0.73199999999999998</v>
      </c>
      <c r="K74" s="30" t="s">
        <v>166</v>
      </c>
      <c r="L74" s="13"/>
      <c r="M74" s="8"/>
      <c r="N74" s="8"/>
      <c r="O74" s="8">
        <v>40</v>
      </c>
      <c r="P74" s="14">
        <v>0.21</v>
      </c>
      <c r="Q74" s="10">
        <f t="shared" si="6"/>
        <v>0.4</v>
      </c>
      <c r="R74" s="11">
        <f t="shared" si="7"/>
        <v>8.4000000000000005E-2</v>
      </c>
    </row>
    <row r="75" spans="2:18" x14ac:dyDescent="0.25">
      <c r="B75" s="30" t="s">
        <v>95</v>
      </c>
      <c r="C75" s="13">
        <v>40</v>
      </c>
      <c r="D75" s="8">
        <v>21</v>
      </c>
      <c r="E75" s="8"/>
      <c r="F75" s="8"/>
      <c r="G75" s="14"/>
      <c r="H75" s="10"/>
      <c r="I75" s="11">
        <f>C75*D75/10000</f>
        <v>8.4000000000000005E-2</v>
      </c>
      <c r="K75" s="30"/>
      <c r="L75" s="13"/>
      <c r="M75" s="8"/>
      <c r="N75" s="8"/>
      <c r="O75" s="8"/>
      <c r="P75" s="14"/>
      <c r="Q75" s="10"/>
      <c r="R75" s="11"/>
    </row>
    <row r="76" spans="2:18" x14ac:dyDescent="0.25">
      <c r="B76" s="30"/>
      <c r="C76" s="13"/>
      <c r="D76" s="8"/>
      <c r="E76" s="8"/>
      <c r="F76" s="8"/>
      <c r="G76" s="14"/>
      <c r="H76" s="10"/>
      <c r="I76" s="11"/>
      <c r="K76" s="30" t="s">
        <v>167</v>
      </c>
      <c r="L76" s="13"/>
      <c r="M76" s="8"/>
      <c r="N76" s="8"/>
      <c r="O76" s="8">
        <v>40</v>
      </c>
      <c r="P76" s="14">
        <v>0.21</v>
      </c>
      <c r="Q76" s="10">
        <f t="shared" ref="Q76:Q80" si="8">(L76+M76+N76+O76)/100</f>
        <v>0.4</v>
      </c>
      <c r="R76" s="11">
        <f t="shared" ref="R76:R80" si="9">Q76*P76</f>
        <v>8.4000000000000005E-2</v>
      </c>
    </row>
    <row r="77" spans="2:18" x14ac:dyDescent="0.25">
      <c r="B77" s="30" t="s">
        <v>99</v>
      </c>
      <c r="C77" s="13">
        <v>40</v>
      </c>
      <c r="D77" s="8">
        <v>21</v>
      </c>
      <c r="E77" s="8"/>
      <c r="F77" s="8"/>
      <c r="G77" s="14"/>
      <c r="H77" s="10"/>
      <c r="I77" s="11">
        <f>C77*D77/10000</f>
        <v>8.4000000000000005E-2</v>
      </c>
      <c r="K77" s="30" t="s">
        <v>168</v>
      </c>
      <c r="L77" s="13"/>
      <c r="M77" s="8"/>
      <c r="N77" s="8"/>
      <c r="O77" s="8">
        <f>(58.17+79.2)/2</f>
        <v>68.685000000000002</v>
      </c>
      <c r="P77" s="14">
        <v>4.7125000000000004</v>
      </c>
      <c r="Q77" s="10">
        <f t="shared" si="8"/>
        <v>0.68685000000000007</v>
      </c>
      <c r="R77" s="11">
        <f t="shared" si="9"/>
        <v>3.2367806250000006</v>
      </c>
    </row>
    <row r="78" spans="2:18" x14ac:dyDescent="0.25">
      <c r="B78" s="30" t="s">
        <v>100</v>
      </c>
      <c r="C78" s="13"/>
      <c r="D78" s="8">
        <v>21</v>
      </c>
      <c r="E78" s="8">
        <v>40</v>
      </c>
      <c r="F78" s="8">
        <v>40</v>
      </c>
      <c r="G78" s="14">
        <v>1.2</v>
      </c>
      <c r="H78" s="10">
        <f>(E78+D78+F78)/100</f>
        <v>1.01</v>
      </c>
      <c r="I78" s="11">
        <f>H78*G78</f>
        <v>1.212</v>
      </c>
      <c r="K78" s="30" t="s">
        <v>86</v>
      </c>
      <c r="L78" s="13"/>
      <c r="M78" s="8"/>
      <c r="N78" s="8"/>
      <c r="O78" s="8">
        <v>15</v>
      </c>
      <c r="P78" s="14">
        <v>2.46</v>
      </c>
      <c r="Q78" s="10">
        <f t="shared" si="8"/>
        <v>0.15</v>
      </c>
      <c r="R78" s="11">
        <f t="shared" si="9"/>
        <v>0.36899999999999999</v>
      </c>
    </row>
    <row r="79" spans="2:18" x14ac:dyDescent="0.25">
      <c r="B79" s="30" t="s">
        <v>101</v>
      </c>
      <c r="C79" s="13"/>
      <c r="D79" s="8">
        <v>25</v>
      </c>
      <c r="E79" s="8">
        <v>80</v>
      </c>
      <c r="F79" s="8"/>
      <c r="G79" s="14">
        <v>36.06</v>
      </c>
      <c r="H79" s="10">
        <f>(E79+D79)/100</f>
        <v>1.05</v>
      </c>
      <c r="I79" s="11">
        <f>H79*G79</f>
        <v>37.863000000000007</v>
      </c>
      <c r="K79" s="30" t="s">
        <v>169</v>
      </c>
      <c r="L79" s="13"/>
      <c r="M79" s="8"/>
      <c r="N79" s="8"/>
      <c r="O79" s="8">
        <f>(58.17+79.2)/2</f>
        <v>68.685000000000002</v>
      </c>
      <c r="P79" s="14">
        <v>5.1675000000000004</v>
      </c>
      <c r="Q79" s="10">
        <f t="shared" si="8"/>
        <v>0.68685000000000007</v>
      </c>
      <c r="R79" s="11">
        <f t="shared" si="9"/>
        <v>3.5492973750000005</v>
      </c>
    </row>
    <row r="80" spans="2:18" x14ac:dyDescent="0.25">
      <c r="B80" s="30" t="s">
        <v>102</v>
      </c>
      <c r="C80" s="13"/>
      <c r="D80" s="8">
        <v>25</v>
      </c>
      <c r="E80" s="8">
        <v>80</v>
      </c>
      <c r="F80" s="8"/>
      <c r="G80" s="14">
        <v>36.06</v>
      </c>
      <c r="H80" s="10">
        <f>(E80+D80)/100</f>
        <v>1.05</v>
      </c>
      <c r="I80" s="11">
        <f>H80*G80</f>
        <v>37.863000000000007</v>
      </c>
      <c r="K80" s="30" t="s">
        <v>170</v>
      </c>
      <c r="L80" s="13"/>
      <c r="M80" s="8"/>
      <c r="N80" s="8"/>
      <c r="O80" s="8">
        <v>40</v>
      </c>
      <c r="P80" s="14">
        <v>0.21</v>
      </c>
      <c r="Q80" s="10">
        <f t="shared" si="8"/>
        <v>0.4</v>
      </c>
      <c r="R80" s="11">
        <f t="shared" si="9"/>
        <v>8.4000000000000005E-2</v>
      </c>
    </row>
    <row r="81" spans="2:18" x14ac:dyDescent="0.25">
      <c r="B81" s="30" t="s">
        <v>103</v>
      </c>
      <c r="C81" s="13"/>
      <c r="D81" s="8">
        <v>21</v>
      </c>
      <c r="E81" s="8">
        <v>40</v>
      </c>
      <c r="F81" s="8">
        <v>40</v>
      </c>
      <c r="G81" s="14">
        <v>1.2</v>
      </c>
      <c r="H81" s="10">
        <f>(E81+D81)/100</f>
        <v>0.61</v>
      </c>
      <c r="I81" s="11">
        <f>H81*G81</f>
        <v>0.73199999999999998</v>
      </c>
      <c r="K81" s="24" t="s">
        <v>89</v>
      </c>
      <c r="L81" s="36"/>
      <c r="M81" s="26"/>
      <c r="N81" s="26"/>
      <c r="O81" s="26"/>
      <c r="P81" s="27"/>
      <c r="Q81" s="28"/>
      <c r="R81" s="29"/>
    </row>
    <row r="82" spans="2:18" x14ac:dyDescent="0.25">
      <c r="B82" s="30" t="s">
        <v>104</v>
      </c>
      <c r="C82" s="13">
        <v>40</v>
      </c>
      <c r="D82" s="8">
        <v>21</v>
      </c>
      <c r="E82" s="8"/>
      <c r="F82" s="8"/>
      <c r="G82" s="14"/>
      <c r="H82" s="10"/>
      <c r="I82" s="11">
        <f>C82*D82/10000</f>
        <v>8.4000000000000005E-2</v>
      </c>
      <c r="K82" s="30" t="s">
        <v>124</v>
      </c>
      <c r="L82" s="13"/>
      <c r="M82" s="8"/>
      <c r="N82" s="8"/>
      <c r="O82" s="8">
        <v>40</v>
      </c>
      <c r="P82" s="14">
        <v>0.21</v>
      </c>
      <c r="Q82" s="10">
        <f t="shared" ref="Q82:Q103" si="10">(L82+M82+N82+O82)/100</f>
        <v>0.4</v>
      </c>
      <c r="R82" s="11">
        <f t="shared" ref="R82:R103" si="11">Q82*P82</f>
        <v>8.4000000000000005E-2</v>
      </c>
    </row>
    <row r="83" spans="2:18" x14ac:dyDescent="0.25">
      <c r="B83" s="30"/>
      <c r="C83" s="8"/>
      <c r="D83" s="8"/>
      <c r="E83" s="8"/>
      <c r="F83" s="8"/>
      <c r="G83" s="14"/>
      <c r="H83" s="10"/>
      <c r="I83" s="11"/>
      <c r="K83" s="30" t="s">
        <v>125</v>
      </c>
      <c r="L83" s="13"/>
      <c r="M83" s="8"/>
      <c r="N83" s="8"/>
      <c r="O83" s="8">
        <f>(79.42+78.87)/2</f>
        <v>79.14500000000001</v>
      </c>
      <c r="P83" s="14">
        <v>0.2</v>
      </c>
      <c r="Q83" s="10">
        <f t="shared" si="10"/>
        <v>0.7914500000000001</v>
      </c>
      <c r="R83" s="11">
        <f t="shared" si="11"/>
        <v>0.15829000000000004</v>
      </c>
    </row>
    <row r="84" spans="2:18" x14ac:dyDescent="0.25">
      <c r="B84" s="24" t="s">
        <v>107</v>
      </c>
      <c r="C84" s="26"/>
      <c r="D84" s="26"/>
      <c r="E84" s="26"/>
      <c r="F84" s="26"/>
      <c r="G84" s="27"/>
      <c r="H84" s="28"/>
      <c r="I84" s="29"/>
      <c r="K84" s="30" t="s">
        <v>126</v>
      </c>
      <c r="L84" s="13"/>
      <c r="M84" s="8"/>
      <c r="N84" s="8"/>
      <c r="O84" s="8">
        <f>(159.56+139.92)/2</f>
        <v>149.74</v>
      </c>
      <c r="P84" s="14">
        <v>6.1275000000000004</v>
      </c>
      <c r="Q84" s="10">
        <f t="shared" si="10"/>
        <v>1.4974000000000001</v>
      </c>
      <c r="R84" s="11">
        <f t="shared" si="11"/>
        <v>9.1753185000000013</v>
      </c>
    </row>
    <row r="85" spans="2:18" x14ac:dyDescent="0.25">
      <c r="B85" s="30" t="s">
        <v>90</v>
      </c>
      <c r="C85" s="13">
        <v>40</v>
      </c>
      <c r="D85" s="8">
        <v>21</v>
      </c>
      <c r="E85" s="8"/>
      <c r="F85" s="8"/>
      <c r="G85" s="14"/>
      <c r="H85" s="10"/>
      <c r="I85" s="11">
        <f>C85*D85/10000</f>
        <v>8.4000000000000005E-2</v>
      </c>
      <c r="K85" s="30" t="s">
        <v>127</v>
      </c>
      <c r="L85" s="13"/>
      <c r="M85" s="8"/>
      <c r="N85" s="8"/>
      <c r="O85" s="8">
        <v>95</v>
      </c>
      <c r="P85" s="14">
        <v>2.46</v>
      </c>
      <c r="Q85" s="10">
        <f t="shared" si="10"/>
        <v>0.95</v>
      </c>
      <c r="R85" s="11">
        <f t="shared" si="11"/>
        <v>2.3369999999999997</v>
      </c>
    </row>
    <row r="86" spans="2:18" x14ac:dyDescent="0.25">
      <c r="B86" s="30" t="s">
        <v>91</v>
      </c>
      <c r="C86" s="13"/>
      <c r="D86" s="8">
        <v>21</v>
      </c>
      <c r="E86" s="8">
        <v>40</v>
      </c>
      <c r="F86" s="8">
        <v>40</v>
      </c>
      <c r="G86" s="14">
        <v>1</v>
      </c>
      <c r="H86" s="10">
        <f>(E86+D86+F86)/100</f>
        <v>1.01</v>
      </c>
      <c r="I86" s="11">
        <f>H86*G86</f>
        <v>1.01</v>
      </c>
      <c r="K86" s="30" t="s">
        <v>128</v>
      </c>
      <c r="L86" s="13"/>
      <c r="M86" s="8"/>
      <c r="N86" s="8"/>
      <c r="O86" s="8">
        <f>(141.18+158.86)/2</f>
        <v>150.02000000000001</v>
      </c>
      <c r="P86" s="14">
        <v>6.1275000000000004</v>
      </c>
      <c r="Q86" s="10">
        <f t="shared" si="10"/>
        <v>1.5002000000000002</v>
      </c>
      <c r="R86" s="11">
        <f t="shared" si="11"/>
        <v>9.1924755000000022</v>
      </c>
    </row>
    <row r="87" spans="2:18" x14ac:dyDescent="0.25">
      <c r="B87" s="30" t="s">
        <v>92</v>
      </c>
      <c r="C87" s="13"/>
      <c r="D87" s="8">
        <v>15</v>
      </c>
      <c r="E87" s="8">
        <v>80</v>
      </c>
      <c r="F87" s="8"/>
      <c r="G87" s="14">
        <v>14.984999999999999</v>
      </c>
      <c r="H87" s="10">
        <f>(E87+D87)/100</f>
        <v>0.95</v>
      </c>
      <c r="I87" s="11">
        <f>H87*G87</f>
        <v>14.235749999999999</v>
      </c>
      <c r="K87" s="30" t="s">
        <v>129</v>
      </c>
      <c r="L87" s="13"/>
      <c r="M87" s="8"/>
      <c r="N87" s="8"/>
      <c r="O87" s="8">
        <f>(77.64+78.2)/2</f>
        <v>77.92</v>
      </c>
      <c r="P87" s="14">
        <v>0.2</v>
      </c>
      <c r="Q87" s="10">
        <f t="shared" si="10"/>
        <v>0.7792</v>
      </c>
      <c r="R87" s="11">
        <f t="shared" si="11"/>
        <v>0.15584000000000001</v>
      </c>
    </row>
    <row r="88" spans="2:18" x14ac:dyDescent="0.25">
      <c r="B88" s="30" t="s">
        <v>93</v>
      </c>
      <c r="C88" s="13"/>
      <c r="D88" s="8">
        <v>21</v>
      </c>
      <c r="E88" s="8">
        <v>40</v>
      </c>
      <c r="F88" s="8">
        <v>40</v>
      </c>
      <c r="G88" s="14">
        <v>1</v>
      </c>
      <c r="H88" s="10">
        <f>(E88+D88+F88)/100</f>
        <v>1.01</v>
      </c>
      <c r="I88" s="11">
        <f>H88*G88</f>
        <v>1.01</v>
      </c>
      <c r="K88" s="30" t="s">
        <v>130</v>
      </c>
      <c r="L88" s="13"/>
      <c r="M88" s="8"/>
      <c r="N88" s="8"/>
      <c r="O88" s="8">
        <v>40</v>
      </c>
      <c r="P88" s="14">
        <v>0.21</v>
      </c>
      <c r="Q88" s="10">
        <f t="shared" si="10"/>
        <v>0.4</v>
      </c>
      <c r="R88" s="11">
        <f t="shared" si="11"/>
        <v>8.4000000000000005E-2</v>
      </c>
    </row>
    <row r="89" spans="2:18" x14ac:dyDescent="0.25">
      <c r="B89" s="30" t="s">
        <v>108</v>
      </c>
      <c r="C89" s="13">
        <v>40</v>
      </c>
      <c r="D89" s="8">
        <v>21</v>
      </c>
      <c r="E89" s="8"/>
      <c r="F89" s="8"/>
      <c r="G89" s="14"/>
      <c r="H89" s="10"/>
      <c r="I89" s="11">
        <f>C89*D89/10000</f>
        <v>8.4000000000000005E-2</v>
      </c>
      <c r="K89" s="30" t="s">
        <v>75</v>
      </c>
      <c r="L89" s="13"/>
      <c r="M89" s="8"/>
      <c r="N89" s="8"/>
      <c r="O89" s="8">
        <v>78.8</v>
      </c>
      <c r="P89" s="14">
        <v>1.5175000000000001</v>
      </c>
      <c r="Q89" s="10">
        <f t="shared" si="10"/>
        <v>0.78799999999999992</v>
      </c>
      <c r="R89" s="11">
        <f t="shared" si="11"/>
        <v>1.1957899999999999</v>
      </c>
    </row>
    <row r="90" spans="2:18" x14ac:dyDescent="0.25">
      <c r="B90" s="30"/>
      <c r="C90" s="13"/>
      <c r="D90" s="8"/>
      <c r="E90" s="8"/>
      <c r="F90" s="8"/>
      <c r="G90" s="14"/>
      <c r="H90" s="10"/>
      <c r="I90" s="11"/>
      <c r="K90" s="30" t="s">
        <v>76</v>
      </c>
      <c r="L90" s="13"/>
      <c r="M90" s="8"/>
      <c r="N90" s="8"/>
      <c r="O90" s="8">
        <v>80</v>
      </c>
      <c r="P90" s="14">
        <v>1.1025</v>
      </c>
      <c r="Q90" s="10">
        <f t="shared" si="10"/>
        <v>0.8</v>
      </c>
      <c r="R90" s="11">
        <f t="shared" si="11"/>
        <v>0.88200000000000012</v>
      </c>
    </row>
    <row r="91" spans="2:18" x14ac:dyDescent="0.25">
      <c r="B91" s="30" t="s">
        <v>99</v>
      </c>
      <c r="C91" s="13">
        <v>40</v>
      </c>
      <c r="D91" s="8">
        <v>21</v>
      </c>
      <c r="E91" s="8"/>
      <c r="F91" s="8"/>
      <c r="G91" s="14"/>
      <c r="H91" s="10"/>
      <c r="I91" s="11">
        <f>C91*D91/10000</f>
        <v>8.4000000000000005E-2</v>
      </c>
      <c r="K91" s="30" t="s">
        <v>112</v>
      </c>
      <c r="L91" s="13"/>
      <c r="M91" s="8"/>
      <c r="N91" s="8"/>
      <c r="O91" s="8">
        <v>80</v>
      </c>
      <c r="P91" s="14">
        <v>1.1375</v>
      </c>
      <c r="Q91" s="10">
        <f t="shared" si="10"/>
        <v>0.8</v>
      </c>
      <c r="R91" s="11">
        <f t="shared" si="11"/>
        <v>0.91</v>
      </c>
    </row>
    <row r="92" spans="2:18" x14ac:dyDescent="0.25">
      <c r="B92" s="30" t="s">
        <v>100</v>
      </c>
      <c r="C92" s="13"/>
      <c r="D92" s="8">
        <v>21</v>
      </c>
      <c r="E92" s="8">
        <v>40</v>
      </c>
      <c r="F92" s="8">
        <v>40</v>
      </c>
      <c r="G92" s="14">
        <v>1</v>
      </c>
      <c r="H92" s="10">
        <f>(E92+D92+F92)/100</f>
        <v>1.01</v>
      </c>
      <c r="I92" s="11">
        <f>H92*G92</f>
        <v>1.01</v>
      </c>
      <c r="K92" s="30" t="s">
        <v>113</v>
      </c>
      <c r="L92" s="13"/>
      <c r="M92" s="8"/>
      <c r="N92" s="8"/>
      <c r="O92" s="8">
        <v>78.849999999999994</v>
      </c>
      <c r="P92" s="14">
        <v>1.5447</v>
      </c>
      <c r="Q92" s="10">
        <f t="shared" si="10"/>
        <v>0.78849999999999998</v>
      </c>
      <c r="R92" s="11">
        <f t="shared" si="11"/>
        <v>1.2179959499999999</v>
      </c>
    </row>
    <row r="93" spans="2:18" x14ac:dyDescent="0.25">
      <c r="B93" s="30" t="s">
        <v>101</v>
      </c>
      <c r="C93" s="13"/>
      <c r="D93" s="8">
        <v>15</v>
      </c>
      <c r="E93" s="8">
        <v>80</v>
      </c>
      <c r="F93" s="8"/>
      <c r="G93" s="14">
        <v>14.984999999999999</v>
      </c>
      <c r="H93" s="10">
        <f>(E93+D93)/100</f>
        <v>0.95</v>
      </c>
      <c r="I93" s="11">
        <f>H93*G93</f>
        <v>14.235749999999999</v>
      </c>
      <c r="K93" s="30" t="s">
        <v>85</v>
      </c>
      <c r="L93" s="13"/>
      <c r="M93" s="8"/>
      <c r="N93" s="8"/>
      <c r="O93" s="8">
        <v>78.8</v>
      </c>
      <c r="P93" s="14">
        <v>1.5175000000000001</v>
      </c>
      <c r="Q93" s="10">
        <f t="shared" si="10"/>
        <v>0.78799999999999992</v>
      </c>
      <c r="R93" s="11">
        <f t="shared" si="11"/>
        <v>1.1957899999999999</v>
      </c>
    </row>
    <row r="94" spans="2:18" x14ac:dyDescent="0.25">
      <c r="B94" s="30" t="s">
        <v>102</v>
      </c>
      <c r="C94" s="13"/>
      <c r="D94" s="8">
        <v>21</v>
      </c>
      <c r="E94" s="8">
        <v>40</v>
      </c>
      <c r="F94" s="8">
        <v>40</v>
      </c>
      <c r="G94" s="14">
        <v>1</v>
      </c>
      <c r="H94" s="10">
        <f>(E94+D94+F94)/100</f>
        <v>1.01</v>
      </c>
      <c r="I94" s="11">
        <f>H94*G94</f>
        <v>1.01</v>
      </c>
      <c r="K94" s="30" t="s">
        <v>86</v>
      </c>
      <c r="L94" s="13"/>
      <c r="M94" s="8"/>
      <c r="N94" s="8"/>
      <c r="O94" s="8">
        <v>80</v>
      </c>
      <c r="P94" s="14">
        <v>1.1025</v>
      </c>
      <c r="Q94" s="10">
        <f t="shared" si="10"/>
        <v>0.8</v>
      </c>
      <c r="R94" s="11">
        <f t="shared" si="11"/>
        <v>0.88200000000000012</v>
      </c>
    </row>
    <row r="95" spans="2:18" x14ac:dyDescent="0.25">
      <c r="B95" s="30" t="s">
        <v>109</v>
      </c>
      <c r="C95" s="13">
        <v>40</v>
      </c>
      <c r="D95" s="8">
        <v>21</v>
      </c>
      <c r="E95" s="8"/>
      <c r="F95" s="8"/>
      <c r="G95" s="14"/>
      <c r="H95" s="10"/>
      <c r="I95" s="11">
        <f>C95*D95/10000</f>
        <v>8.4000000000000005E-2</v>
      </c>
      <c r="K95" s="30" t="s">
        <v>118</v>
      </c>
      <c r="L95" s="13"/>
      <c r="M95" s="8"/>
      <c r="N95" s="8"/>
      <c r="O95" s="8">
        <v>80</v>
      </c>
      <c r="P95" s="14">
        <v>1.1375</v>
      </c>
      <c r="Q95" s="10">
        <f t="shared" si="10"/>
        <v>0.8</v>
      </c>
      <c r="R95" s="11">
        <f t="shared" si="11"/>
        <v>0.91</v>
      </c>
    </row>
    <row r="96" spans="2:18" ht="15.75" thickBot="1" x14ac:dyDescent="0.3">
      <c r="B96" s="32"/>
      <c r="C96" s="16"/>
      <c r="D96" s="17"/>
      <c r="E96" s="17"/>
      <c r="F96" s="17"/>
      <c r="G96" s="18"/>
      <c r="H96" s="19"/>
      <c r="I96" s="20"/>
      <c r="K96" s="30" t="s">
        <v>119</v>
      </c>
      <c r="L96" s="13"/>
      <c r="M96" s="8"/>
      <c r="N96" s="8"/>
      <c r="O96" s="8">
        <v>78.849999999999994</v>
      </c>
      <c r="P96" s="14">
        <v>1.5447</v>
      </c>
      <c r="Q96" s="10">
        <f t="shared" si="10"/>
        <v>0.78849999999999998</v>
      </c>
      <c r="R96" s="11">
        <f t="shared" si="11"/>
        <v>1.2179959499999999</v>
      </c>
    </row>
    <row r="97" spans="11:18" x14ac:dyDescent="0.25">
      <c r="K97" s="30" t="s">
        <v>131</v>
      </c>
      <c r="L97" s="13"/>
      <c r="M97" s="8"/>
      <c r="N97" s="8"/>
      <c r="O97" s="8">
        <v>40</v>
      </c>
      <c r="P97" s="14">
        <v>0.21</v>
      </c>
      <c r="Q97" s="10">
        <f t="shared" si="10"/>
        <v>0.4</v>
      </c>
      <c r="R97" s="11">
        <f t="shared" si="11"/>
        <v>8.4000000000000005E-2</v>
      </c>
    </row>
    <row r="98" spans="11:18" x14ac:dyDescent="0.25">
      <c r="K98" s="30" t="s">
        <v>132</v>
      </c>
      <c r="L98" s="13"/>
      <c r="M98" s="8"/>
      <c r="N98" s="8"/>
      <c r="O98" s="8">
        <f>(79.42+78.87)/2</f>
        <v>79.14500000000001</v>
      </c>
      <c r="P98" s="14">
        <v>0.2</v>
      </c>
      <c r="Q98" s="10">
        <f t="shared" si="10"/>
        <v>0.7914500000000001</v>
      </c>
      <c r="R98" s="11">
        <f t="shared" si="11"/>
        <v>0.15829000000000004</v>
      </c>
    </row>
    <row r="99" spans="11:18" x14ac:dyDescent="0.25">
      <c r="K99" s="30" t="s">
        <v>133</v>
      </c>
      <c r="L99" s="13"/>
      <c r="M99" s="8"/>
      <c r="N99" s="8"/>
      <c r="O99" s="8">
        <f>(159.56+139.92)/2</f>
        <v>149.74</v>
      </c>
      <c r="P99" s="14">
        <v>6.1275000000000004</v>
      </c>
      <c r="Q99" s="10">
        <f t="shared" si="10"/>
        <v>1.4974000000000001</v>
      </c>
      <c r="R99" s="11">
        <f t="shared" si="11"/>
        <v>9.1753185000000013</v>
      </c>
    </row>
    <row r="100" spans="11:18" x14ac:dyDescent="0.25">
      <c r="K100" s="30" t="s">
        <v>134</v>
      </c>
      <c r="L100" s="13"/>
      <c r="M100" s="8"/>
      <c r="N100" s="8"/>
      <c r="O100" s="8">
        <v>95</v>
      </c>
      <c r="P100" s="14">
        <v>2.46</v>
      </c>
      <c r="Q100" s="10">
        <f t="shared" si="10"/>
        <v>0.95</v>
      </c>
      <c r="R100" s="11">
        <f t="shared" si="11"/>
        <v>2.3369999999999997</v>
      </c>
    </row>
    <row r="101" spans="11:18" x14ac:dyDescent="0.25">
      <c r="K101" s="30" t="s">
        <v>135</v>
      </c>
      <c r="L101" s="13"/>
      <c r="M101" s="8"/>
      <c r="N101" s="8"/>
      <c r="O101" s="8">
        <f>(141.18+158.86)/2</f>
        <v>150.02000000000001</v>
      </c>
      <c r="P101" s="14">
        <v>6.1275000000000004</v>
      </c>
      <c r="Q101" s="10">
        <f t="shared" si="10"/>
        <v>1.5002000000000002</v>
      </c>
      <c r="R101" s="11">
        <f t="shared" si="11"/>
        <v>9.1924755000000022</v>
      </c>
    </row>
    <row r="102" spans="11:18" x14ac:dyDescent="0.25">
      <c r="K102" s="30" t="s">
        <v>136</v>
      </c>
      <c r="L102" s="13"/>
      <c r="M102" s="8"/>
      <c r="N102" s="8"/>
      <c r="O102" s="8">
        <f>(77.64+78.2)/2</f>
        <v>77.92</v>
      </c>
      <c r="P102" s="14">
        <v>0.2</v>
      </c>
      <c r="Q102" s="10">
        <f t="shared" si="10"/>
        <v>0.7792</v>
      </c>
      <c r="R102" s="11">
        <f t="shared" si="11"/>
        <v>0.15584000000000001</v>
      </c>
    </row>
    <row r="103" spans="11:18" x14ac:dyDescent="0.25">
      <c r="K103" s="30" t="s">
        <v>137</v>
      </c>
      <c r="L103" s="13"/>
      <c r="M103" s="8"/>
      <c r="N103" s="8"/>
      <c r="O103" s="8">
        <v>40</v>
      </c>
      <c r="P103" s="14">
        <v>0.21</v>
      </c>
      <c r="Q103" s="10">
        <f t="shared" si="10"/>
        <v>0.4</v>
      </c>
      <c r="R103" s="11">
        <f t="shared" si="11"/>
        <v>8.4000000000000005E-2</v>
      </c>
    </row>
    <row r="104" spans="11:18" ht="15.75" thickBot="1" x14ac:dyDescent="0.3">
      <c r="K104" s="61"/>
      <c r="L104" s="62"/>
      <c r="M104" s="62"/>
      <c r="N104" s="62"/>
      <c r="O104" s="62"/>
      <c r="P104" s="62"/>
      <c r="Q104" s="62"/>
      <c r="R104" s="63"/>
    </row>
  </sheetData>
  <mergeCells count="2">
    <mergeCell ref="B1:R1"/>
    <mergeCell ref="B14:R14"/>
  </mergeCells>
  <pageMargins left="0.511811024" right="0.511811024" top="0.78740157499999996" bottom="0.78740157499999996" header="0.31496062000000002" footer="0.31496062000000002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R126"/>
  <sheetViews>
    <sheetView workbookViewId="0">
      <selection activeCell="I168" sqref="I168"/>
    </sheetView>
  </sheetViews>
  <sheetFormatPr defaultRowHeight="15" x14ac:dyDescent="0.25"/>
  <cols>
    <col min="2" max="2" width="14.42578125" customWidth="1"/>
    <col min="3" max="3" width="15.42578125" customWidth="1"/>
  </cols>
  <sheetData>
    <row r="1" spans="2:18" x14ac:dyDescent="0.25">
      <c r="B1" s="161" t="s">
        <v>173</v>
      </c>
      <c r="C1" s="161"/>
      <c r="D1" s="161"/>
      <c r="E1" s="161"/>
      <c r="F1" s="161"/>
      <c r="G1" s="161"/>
      <c r="H1" s="161"/>
      <c r="I1" s="161"/>
      <c r="J1" s="161"/>
      <c r="K1" s="161"/>
      <c r="L1" s="161"/>
      <c r="M1" s="161"/>
      <c r="N1" s="161"/>
      <c r="O1" s="161"/>
      <c r="P1" s="161"/>
      <c r="Q1" s="161"/>
      <c r="R1" s="161"/>
    </row>
    <row r="2" spans="2:18" ht="15.75" thickBot="1" x14ac:dyDescent="0.3"/>
    <row r="3" spans="2:18" ht="15.75" thickBot="1" x14ac:dyDescent="0.3">
      <c r="B3" s="52" t="s">
        <v>138</v>
      </c>
      <c r="C3" s="37" t="s">
        <v>6</v>
      </c>
      <c r="D3" s="37"/>
    </row>
    <row r="4" spans="2:18" x14ac:dyDescent="0.25">
      <c r="B4" s="38" t="s">
        <v>139</v>
      </c>
      <c r="C4" s="39">
        <v>119.62520000000008</v>
      </c>
      <c r="D4" s="39"/>
    </row>
    <row r="5" spans="2:18" x14ac:dyDescent="0.25">
      <c r="B5" s="40" t="s">
        <v>140</v>
      </c>
      <c r="C5" s="41">
        <v>172.33049999999997</v>
      </c>
      <c r="D5" s="41"/>
    </row>
    <row r="6" spans="2:18" ht="15.75" thickBot="1" x14ac:dyDescent="0.3">
      <c r="B6" s="42" t="s">
        <v>88</v>
      </c>
      <c r="C6" s="43">
        <v>439.6475915850001</v>
      </c>
      <c r="D6" s="43"/>
    </row>
    <row r="7" spans="2:18" x14ac:dyDescent="0.25">
      <c r="B7" s="44" t="s">
        <v>141</v>
      </c>
      <c r="C7" s="45">
        <f>SUM(C4:C6)</f>
        <v>731.60329158500008</v>
      </c>
      <c r="D7" s="45"/>
      <c r="E7" t="s">
        <v>142</v>
      </c>
    </row>
    <row r="8" spans="2:18" ht="15.75" thickBot="1" x14ac:dyDescent="0.3">
      <c r="B8" s="46" t="s">
        <v>143</v>
      </c>
      <c r="C8" s="47">
        <v>757.23</v>
      </c>
      <c r="D8" s="47"/>
      <c r="E8" t="s">
        <v>144</v>
      </c>
    </row>
    <row r="9" spans="2:18" ht="15.75" thickBot="1" x14ac:dyDescent="0.3">
      <c r="B9" s="48" t="s">
        <v>145</v>
      </c>
      <c r="C9" s="49">
        <v>25.626708414999939</v>
      </c>
      <c r="D9" s="50">
        <f>C9/C7</f>
        <v>3.502814805477477E-2</v>
      </c>
      <c r="E9" t="s">
        <v>219</v>
      </c>
    </row>
    <row r="11" spans="2:18" x14ac:dyDescent="0.25">
      <c r="B11" s="54" t="s">
        <v>220</v>
      </c>
      <c r="C11" s="53"/>
      <c r="D11" s="53"/>
    </row>
    <row r="14" spans="2:18" x14ac:dyDescent="0.25">
      <c r="B14" s="161" t="s">
        <v>148</v>
      </c>
      <c r="C14" s="161"/>
      <c r="D14" s="161"/>
      <c r="E14" s="161"/>
      <c r="F14" s="161"/>
      <c r="G14" s="161"/>
      <c r="H14" s="161"/>
      <c r="I14" s="161"/>
      <c r="J14" s="161"/>
      <c r="K14" s="161"/>
      <c r="L14" s="161"/>
      <c r="M14" s="161"/>
      <c r="N14" s="161"/>
      <c r="O14" s="161"/>
      <c r="P14" s="161"/>
      <c r="Q14" s="161"/>
      <c r="R14" s="161"/>
    </row>
    <row r="15" spans="2:18" ht="15.75" thickBot="1" x14ac:dyDescent="0.3"/>
    <row r="16" spans="2:18" ht="15.75" thickBot="1" x14ac:dyDescent="0.3">
      <c r="B16" s="4" t="s">
        <v>10</v>
      </c>
      <c r="C16" s="2" t="s">
        <v>1</v>
      </c>
      <c r="D16" s="3" t="s">
        <v>2</v>
      </c>
      <c r="E16" s="3" t="s">
        <v>3</v>
      </c>
      <c r="F16" s="3" t="s">
        <v>11</v>
      </c>
      <c r="G16" s="3" t="s">
        <v>12</v>
      </c>
      <c r="H16" s="2" t="s">
        <v>5</v>
      </c>
      <c r="I16" s="55" t="s">
        <v>6</v>
      </c>
      <c r="K16" s="4" t="s">
        <v>0</v>
      </c>
      <c r="L16" s="2" t="s">
        <v>1</v>
      </c>
      <c r="M16" s="3" t="s">
        <v>2</v>
      </c>
      <c r="N16" s="3" t="s">
        <v>3</v>
      </c>
      <c r="O16" s="3" t="s">
        <v>4</v>
      </c>
      <c r="P16" s="2" t="s">
        <v>5</v>
      </c>
      <c r="Q16" s="55" t="s">
        <v>6</v>
      </c>
    </row>
    <row r="17" spans="2:17" x14ac:dyDescent="0.25">
      <c r="B17" s="56" t="s">
        <v>13</v>
      </c>
      <c r="C17" s="6">
        <v>25</v>
      </c>
      <c r="D17" s="7">
        <v>0</v>
      </c>
      <c r="E17" s="7">
        <v>23</v>
      </c>
      <c r="F17" s="7">
        <v>40</v>
      </c>
      <c r="G17" s="9">
        <v>4</v>
      </c>
      <c r="H17" s="10">
        <f t="shared" ref="H17:H52" si="0">(C17+D17+E17+F17)/100</f>
        <v>0.88</v>
      </c>
      <c r="I17" s="57">
        <f t="shared" ref="I17:I52" si="1">H17*G17</f>
        <v>3.52</v>
      </c>
      <c r="K17" s="56">
        <v>1</v>
      </c>
      <c r="L17" s="6">
        <v>41</v>
      </c>
      <c r="M17" s="7">
        <v>41</v>
      </c>
      <c r="N17" s="8">
        <v>245.5</v>
      </c>
      <c r="O17" s="9">
        <f>7.89+0.25+1.195</f>
        <v>9.3350000000000009</v>
      </c>
      <c r="P17" s="10">
        <f t="shared" ref="P17:P27" si="2">(L17+N17+M17)/100</f>
        <v>3.2749999999999999</v>
      </c>
      <c r="Q17" s="57">
        <f t="shared" ref="Q17:Q27" si="3">P17*O17</f>
        <v>30.572125000000003</v>
      </c>
    </row>
    <row r="18" spans="2:17" x14ac:dyDescent="0.25">
      <c r="B18" s="58" t="s">
        <v>14</v>
      </c>
      <c r="C18" s="13">
        <v>0</v>
      </c>
      <c r="D18" s="8">
        <v>25</v>
      </c>
      <c r="E18" s="8">
        <v>25.5</v>
      </c>
      <c r="F18" s="8">
        <v>40</v>
      </c>
      <c r="G18" s="14">
        <v>4</v>
      </c>
      <c r="H18" s="10">
        <f t="shared" si="0"/>
        <v>0.90500000000000003</v>
      </c>
      <c r="I18" s="57">
        <f t="shared" si="1"/>
        <v>3.62</v>
      </c>
      <c r="K18" s="58">
        <v>2</v>
      </c>
      <c r="L18" s="13">
        <v>41</v>
      </c>
      <c r="M18" s="8">
        <v>41</v>
      </c>
      <c r="N18" s="8">
        <v>245.5</v>
      </c>
      <c r="O18" s="14">
        <v>5.72</v>
      </c>
      <c r="P18" s="10">
        <f t="shared" si="2"/>
        <v>3.2749999999999999</v>
      </c>
      <c r="Q18" s="57">
        <f t="shared" si="3"/>
        <v>18.732999999999997</v>
      </c>
    </row>
    <row r="19" spans="2:17" x14ac:dyDescent="0.25">
      <c r="B19" s="58" t="s">
        <v>15</v>
      </c>
      <c r="C19" s="13">
        <v>25</v>
      </c>
      <c r="D19" s="8">
        <v>0</v>
      </c>
      <c r="E19" s="8">
        <v>23</v>
      </c>
      <c r="F19" s="8">
        <v>23</v>
      </c>
      <c r="G19" s="14">
        <v>4</v>
      </c>
      <c r="H19" s="10">
        <f t="shared" si="0"/>
        <v>0.71</v>
      </c>
      <c r="I19" s="57">
        <f t="shared" si="1"/>
        <v>2.84</v>
      </c>
      <c r="K19" s="58">
        <v>3</v>
      </c>
      <c r="L19" s="13">
        <v>41</v>
      </c>
      <c r="M19" s="8">
        <v>41</v>
      </c>
      <c r="N19" s="8">
        <v>245.5</v>
      </c>
      <c r="O19" s="14">
        <v>5.72</v>
      </c>
      <c r="P19" s="10">
        <f t="shared" si="2"/>
        <v>3.2749999999999999</v>
      </c>
      <c r="Q19" s="57">
        <f t="shared" si="3"/>
        <v>18.732999999999997</v>
      </c>
    </row>
    <row r="20" spans="2:17" x14ac:dyDescent="0.25">
      <c r="B20" s="58" t="s">
        <v>16</v>
      </c>
      <c r="C20" s="13">
        <v>0</v>
      </c>
      <c r="D20" s="8">
        <v>25</v>
      </c>
      <c r="E20" s="8">
        <v>25.5</v>
      </c>
      <c r="F20" s="8">
        <v>25.5</v>
      </c>
      <c r="G20" s="14">
        <v>4</v>
      </c>
      <c r="H20" s="10">
        <f t="shared" si="0"/>
        <v>0.76</v>
      </c>
      <c r="I20" s="57">
        <f t="shared" si="1"/>
        <v>3.04</v>
      </c>
      <c r="K20" s="58">
        <v>4</v>
      </c>
      <c r="L20" s="13">
        <v>41</v>
      </c>
      <c r="M20" s="8">
        <v>41</v>
      </c>
      <c r="N20" s="8">
        <v>245.5</v>
      </c>
      <c r="O20" s="14">
        <v>5.72</v>
      </c>
      <c r="P20" s="10">
        <f t="shared" si="2"/>
        <v>3.2749999999999999</v>
      </c>
      <c r="Q20" s="57">
        <f t="shared" si="3"/>
        <v>18.732999999999997</v>
      </c>
    </row>
    <row r="21" spans="2:17" x14ac:dyDescent="0.25">
      <c r="B21" s="58" t="s">
        <v>17</v>
      </c>
      <c r="C21" s="13">
        <v>25</v>
      </c>
      <c r="D21" s="8">
        <v>0</v>
      </c>
      <c r="E21" s="8">
        <v>23</v>
      </c>
      <c r="F21" s="8">
        <v>23</v>
      </c>
      <c r="G21" s="14">
        <v>4</v>
      </c>
      <c r="H21" s="10">
        <f t="shared" si="0"/>
        <v>0.71</v>
      </c>
      <c r="I21" s="57">
        <f t="shared" si="1"/>
        <v>2.84</v>
      </c>
      <c r="K21" s="58">
        <v>5</v>
      </c>
      <c r="L21" s="13">
        <v>41</v>
      </c>
      <c r="M21" s="8">
        <v>41</v>
      </c>
      <c r="N21" s="8">
        <v>245.5</v>
      </c>
      <c r="O21" s="14">
        <v>5.73</v>
      </c>
      <c r="P21" s="10">
        <f t="shared" si="2"/>
        <v>3.2749999999999999</v>
      </c>
      <c r="Q21" s="57">
        <f t="shared" si="3"/>
        <v>18.765750000000001</v>
      </c>
    </row>
    <row r="22" spans="2:17" x14ac:dyDescent="0.25">
      <c r="B22" s="58" t="s">
        <v>18</v>
      </c>
      <c r="C22" s="13">
        <v>0</v>
      </c>
      <c r="D22" s="8">
        <v>25</v>
      </c>
      <c r="E22" s="8">
        <v>25.5</v>
      </c>
      <c r="F22" s="8">
        <v>25.5</v>
      </c>
      <c r="G22" s="14">
        <v>4</v>
      </c>
      <c r="H22" s="10">
        <f t="shared" si="0"/>
        <v>0.76</v>
      </c>
      <c r="I22" s="57">
        <f t="shared" si="1"/>
        <v>3.04</v>
      </c>
      <c r="K22" s="58">
        <v>6</v>
      </c>
      <c r="L22" s="13">
        <v>41</v>
      </c>
      <c r="M22" s="8">
        <v>41</v>
      </c>
      <c r="N22" s="8">
        <v>245.5</v>
      </c>
      <c r="O22" s="14">
        <v>5.73</v>
      </c>
      <c r="P22" s="10">
        <f t="shared" si="2"/>
        <v>3.2749999999999999</v>
      </c>
      <c r="Q22" s="57">
        <f t="shared" si="3"/>
        <v>18.765750000000001</v>
      </c>
    </row>
    <row r="23" spans="2:17" x14ac:dyDescent="0.25">
      <c r="B23" s="58" t="s">
        <v>19</v>
      </c>
      <c r="C23" s="13">
        <v>25</v>
      </c>
      <c r="D23" s="8">
        <v>0</v>
      </c>
      <c r="E23" s="8">
        <v>23</v>
      </c>
      <c r="F23" s="8">
        <v>23</v>
      </c>
      <c r="G23" s="14">
        <v>4</v>
      </c>
      <c r="H23" s="10">
        <f t="shared" si="0"/>
        <v>0.71</v>
      </c>
      <c r="I23" s="57">
        <f t="shared" si="1"/>
        <v>2.84</v>
      </c>
      <c r="K23" s="58">
        <v>7</v>
      </c>
      <c r="L23" s="13">
        <v>41</v>
      </c>
      <c r="M23" s="8">
        <v>41</v>
      </c>
      <c r="N23" s="8">
        <v>245.5</v>
      </c>
      <c r="O23" s="14">
        <v>5.73</v>
      </c>
      <c r="P23" s="10">
        <f t="shared" si="2"/>
        <v>3.2749999999999999</v>
      </c>
      <c r="Q23" s="57">
        <f t="shared" si="3"/>
        <v>18.765750000000001</v>
      </c>
    </row>
    <row r="24" spans="2:17" x14ac:dyDescent="0.25">
      <c r="B24" s="58" t="s">
        <v>20</v>
      </c>
      <c r="C24" s="13">
        <v>0</v>
      </c>
      <c r="D24" s="8">
        <v>25.5</v>
      </c>
      <c r="E24" s="8">
        <v>40</v>
      </c>
      <c r="F24" s="8">
        <v>25.5</v>
      </c>
      <c r="G24" s="14">
        <v>4</v>
      </c>
      <c r="H24" s="10">
        <f t="shared" si="0"/>
        <v>0.91</v>
      </c>
      <c r="I24" s="57">
        <f t="shared" si="1"/>
        <v>3.64</v>
      </c>
      <c r="K24" s="58">
        <v>8</v>
      </c>
      <c r="L24" s="13">
        <v>41</v>
      </c>
      <c r="M24" s="8">
        <v>41</v>
      </c>
      <c r="N24" s="8">
        <v>245.5</v>
      </c>
      <c r="O24" s="14">
        <v>5.73</v>
      </c>
      <c r="P24" s="10">
        <f t="shared" si="2"/>
        <v>3.2749999999999999</v>
      </c>
      <c r="Q24" s="57">
        <f t="shared" si="3"/>
        <v>18.765750000000001</v>
      </c>
    </row>
    <row r="25" spans="2:17" x14ac:dyDescent="0.25">
      <c r="B25" s="58" t="s">
        <v>21</v>
      </c>
      <c r="C25" s="13">
        <v>25</v>
      </c>
      <c r="D25" s="8">
        <v>0</v>
      </c>
      <c r="E25" s="8">
        <v>23</v>
      </c>
      <c r="F25" s="8">
        <v>23</v>
      </c>
      <c r="G25" s="14">
        <v>4</v>
      </c>
      <c r="H25" s="10">
        <f t="shared" si="0"/>
        <v>0.71</v>
      </c>
      <c r="I25" s="57">
        <f t="shared" si="1"/>
        <v>2.84</v>
      </c>
      <c r="K25" s="58">
        <v>9</v>
      </c>
      <c r="L25" s="13">
        <v>41</v>
      </c>
      <c r="M25" s="8">
        <v>41</v>
      </c>
      <c r="N25" s="8">
        <v>245.5</v>
      </c>
      <c r="O25" s="14">
        <v>1.1950000000000001</v>
      </c>
      <c r="P25" s="10">
        <f t="shared" si="2"/>
        <v>3.2749999999999999</v>
      </c>
      <c r="Q25" s="57">
        <f t="shared" si="3"/>
        <v>3.9136250000000001</v>
      </c>
    </row>
    <row r="26" spans="2:17" x14ac:dyDescent="0.25">
      <c r="B26" s="58" t="s">
        <v>22</v>
      </c>
      <c r="C26" s="13">
        <v>25</v>
      </c>
      <c r="D26" s="8">
        <v>25</v>
      </c>
      <c r="E26" s="8">
        <v>40</v>
      </c>
      <c r="F26" s="8">
        <v>40</v>
      </c>
      <c r="G26" s="14">
        <v>4</v>
      </c>
      <c r="H26" s="10">
        <f t="shared" si="0"/>
        <v>1.3</v>
      </c>
      <c r="I26" s="57">
        <f t="shared" si="1"/>
        <v>5.2</v>
      </c>
      <c r="K26" s="58">
        <v>10</v>
      </c>
      <c r="L26" s="13">
        <v>41</v>
      </c>
      <c r="M26" s="8">
        <v>41</v>
      </c>
      <c r="N26" s="8">
        <v>245.5</v>
      </c>
      <c r="O26" s="14">
        <v>1.0049999999999999</v>
      </c>
      <c r="P26" s="10">
        <f t="shared" si="2"/>
        <v>3.2749999999999999</v>
      </c>
      <c r="Q26" s="57">
        <f t="shared" si="3"/>
        <v>3.2913749999999995</v>
      </c>
    </row>
    <row r="27" spans="2:17" ht="15.75" thickBot="1" x14ac:dyDescent="0.3">
      <c r="B27" s="58" t="s">
        <v>23</v>
      </c>
      <c r="C27" s="13">
        <v>25</v>
      </c>
      <c r="D27" s="8">
        <v>0</v>
      </c>
      <c r="E27" s="8">
        <v>23</v>
      </c>
      <c r="F27" s="8">
        <v>23</v>
      </c>
      <c r="G27" s="14">
        <v>4</v>
      </c>
      <c r="H27" s="10">
        <f t="shared" si="0"/>
        <v>0.71</v>
      </c>
      <c r="I27" s="57">
        <f t="shared" si="1"/>
        <v>2.84</v>
      </c>
      <c r="K27" s="59">
        <v>11</v>
      </c>
      <c r="L27" s="16">
        <v>41</v>
      </c>
      <c r="M27" s="17">
        <v>41</v>
      </c>
      <c r="N27" s="17">
        <v>245.5</v>
      </c>
      <c r="O27" s="18">
        <v>1.0049999999999999</v>
      </c>
      <c r="P27" s="19">
        <f t="shared" si="2"/>
        <v>3.2749999999999999</v>
      </c>
      <c r="Q27" s="60">
        <f t="shared" si="3"/>
        <v>3.2913749999999995</v>
      </c>
    </row>
    <row r="28" spans="2:17" x14ac:dyDescent="0.25">
      <c r="B28" s="58" t="s">
        <v>24</v>
      </c>
      <c r="C28" s="13">
        <v>25</v>
      </c>
      <c r="D28" s="8">
        <v>25</v>
      </c>
      <c r="E28" s="8">
        <v>40</v>
      </c>
      <c r="F28" s="8">
        <v>40</v>
      </c>
      <c r="G28" s="14">
        <v>4</v>
      </c>
      <c r="H28" s="10">
        <f t="shared" si="0"/>
        <v>1.3</v>
      </c>
      <c r="I28" s="57">
        <f t="shared" si="1"/>
        <v>5.2</v>
      </c>
    </row>
    <row r="29" spans="2:17" x14ac:dyDescent="0.25">
      <c r="B29" s="58" t="s">
        <v>25</v>
      </c>
      <c r="C29" s="13">
        <v>25</v>
      </c>
      <c r="D29" s="8">
        <v>0</v>
      </c>
      <c r="E29" s="8">
        <v>23</v>
      </c>
      <c r="F29" s="8">
        <v>40</v>
      </c>
      <c r="G29" s="14">
        <v>4</v>
      </c>
      <c r="H29" s="10">
        <f t="shared" si="0"/>
        <v>0.88</v>
      </c>
      <c r="I29" s="57">
        <f t="shared" si="1"/>
        <v>3.52</v>
      </c>
    </row>
    <row r="30" spans="2:17" x14ac:dyDescent="0.25">
      <c r="B30" s="58" t="s">
        <v>27</v>
      </c>
      <c r="C30" s="13">
        <v>0</v>
      </c>
      <c r="D30" s="8">
        <v>25</v>
      </c>
      <c r="E30" s="8">
        <v>40</v>
      </c>
      <c r="F30" s="8">
        <v>40</v>
      </c>
      <c r="G30" s="14">
        <v>4</v>
      </c>
      <c r="H30" s="10">
        <f t="shared" si="0"/>
        <v>1.05</v>
      </c>
      <c r="I30" s="57">
        <f t="shared" si="1"/>
        <v>4.2</v>
      </c>
    </row>
    <row r="31" spans="2:17" x14ac:dyDescent="0.25">
      <c r="B31" s="58" t="s">
        <v>28</v>
      </c>
      <c r="C31" s="13">
        <v>25</v>
      </c>
      <c r="D31" s="8">
        <v>0</v>
      </c>
      <c r="E31" s="8">
        <v>0</v>
      </c>
      <c r="F31" s="8">
        <v>0</v>
      </c>
      <c r="G31" s="14">
        <v>5.4649999999999999</v>
      </c>
      <c r="H31" s="10">
        <f t="shared" si="0"/>
        <v>0.25</v>
      </c>
      <c r="I31" s="57">
        <f t="shared" si="1"/>
        <v>1.36625</v>
      </c>
    </row>
    <row r="32" spans="2:17" x14ac:dyDescent="0.25">
      <c r="B32" s="58" t="s">
        <v>151</v>
      </c>
      <c r="C32" s="13">
        <v>0</v>
      </c>
      <c r="D32" s="8">
        <v>27</v>
      </c>
      <c r="E32" s="8">
        <v>0</v>
      </c>
      <c r="F32" s="8">
        <v>0</v>
      </c>
      <c r="G32" s="14">
        <v>5.4649999999999999</v>
      </c>
      <c r="H32" s="10">
        <f t="shared" si="0"/>
        <v>0.27</v>
      </c>
      <c r="I32" s="57">
        <f t="shared" si="1"/>
        <v>1.4755500000000001</v>
      </c>
    </row>
    <row r="33" spans="2:9" x14ac:dyDescent="0.25">
      <c r="B33" s="58" t="s">
        <v>32</v>
      </c>
      <c r="C33" s="13">
        <v>25</v>
      </c>
      <c r="D33" s="8">
        <v>0</v>
      </c>
      <c r="E33" s="8">
        <v>15.5</v>
      </c>
      <c r="F33" s="8">
        <v>15.5</v>
      </c>
      <c r="G33" s="14">
        <v>5.4649999999999999</v>
      </c>
      <c r="H33" s="10">
        <f t="shared" si="0"/>
        <v>0.56000000000000005</v>
      </c>
      <c r="I33" s="57">
        <f t="shared" si="1"/>
        <v>3.0604</v>
      </c>
    </row>
    <row r="34" spans="2:9" x14ac:dyDescent="0.25">
      <c r="B34" s="58" t="s">
        <v>31</v>
      </c>
      <c r="C34" s="13">
        <v>0</v>
      </c>
      <c r="D34" s="8">
        <v>25</v>
      </c>
      <c r="E34" s="8">
        <v>15.5</v>
      </c>
      <c r="F34" s="8">
        <v>15.5</v>
      </c>
      <c r="G34" s="14">
        <v>5.4649999999999999</v>
      </c>
      <c r="H34" s="10">
        <f t="shared" si="0"/>
        <v>0.56000000000000005</v>
      </c>
      <c r="I34" s="57">
        <f t="shared" si="1"/>
        <v>3.0604</v>
      </c>
    </row>
    <row r="35" spans="2:9" x14ac:dyDescent="0.25">
      <c r="B35" s="58" t="s">
        <v>34</v>
      </c>
      <c r="C35" s="13">
        <v>25</v>
      </c>
      <c r="D35" s="8">
        <v>0</v>
      </c>
      <c r="E35" s="8">
        <v>15.5</v>
      </c>
      <c r="F35" s="8">
        <v>15.5</v>
      </c>
      <c r="G35" s="14">
        <v>5.4649999999999999</v>
      </c>
      <c r="H35" s="10">
        <f t="shared" si="0"/>
        <v>0.56000000000000005</v>
      </c>
      <c r="I35" s="57">
        <f t="shared" si="1"/>
        <v>3.0604</v>
      </c>
    </row>
    <row r="36" spans="2:9" x14ac:dyDescent="0.25">
      <c r="B36" s="58" t="s">
        <v>33</v>
      </c>
      <c r="C36" s="13">
        <v>0</v>
      </c>
      <c r="D36" s="8">
        <v>25</v>
      </c>
      <c r="E36" s="8">
        <v>15.5</v>
      </c>
      <c r="F36" s="8">
        <v>15.5</v>
      </c>
      <c r="G36" s="14">
        <v>5.4649999999999999</v>
      </c>
      <c r="H36" s="10">
        <f t="shared" si="0"/>
        <v>0.56000000000000005</v>
      </c>
      <c r="I36" s="57">
        <f t="shared" si="1"/>
        <v>3.0604</v>
      </c>
    </row>
    <row r="37" spans="2:9" x14ac:dyDescent="0.25">
      <c r="B37" s="58" t="s">
        <v>37</v>
      </c>
      <c r="C37" s="13">
        <v>25</v>
      </c>
      <c r="D37" s="8">
        <v>0</v>
      </c>
      <c r="E37" s="8">
        <v>0</v>
      </c>
      <c r="F37" s="8">
        <v>0</v>
      </c>
      <c r="G37" s="14">
        <v>5.4649999999999999</v>
      </c>
      <c r="H37" s="10">
        <f t="shared" si="0"/>
        <v>0.25</v>
      </c>
      <c r="I37" s="57">
        <f t="shared" si="1"/>
        <v>1.36625</v>
      </c>
    </row>
    <row r="38" spans="2:9" x14ac:dyDescent="0.25">
      <c r="B38" s="58" t="s">
        <v>152</v>
      </c>
      <c r="C38" s="13">
        <v>0</v>
      </c>
      <c r="D38" s="8">
        <v>27</v>
      </c>
      <c r="E38" s="8">
        <v>0</v>
      </c>
      <c r="F38" s="8">
        <v>0</v>
      </c>
      <c r="G38" s="14">
        <v>5.4649999999999999</v>
      </c>
      <c r="H38" s="10">
        <f t="shared" si="0"/>
        <v>0.27</v>
      </c>
      <c r="I38" s="57">
        <f t="shared" si="1"/>
        <v>1.4755500000000001</v>
      </c>
    </row>
    <row r="39" spans="2:9" x14ac:dyDescent="0.25">
      <c r="B39" s="58" t="s">
        <v>40</v>
      </c>
      <c r="C39" s="13">
        <v>25</v>
      </c>
      <c r="D39" s="8">
        <v>0</v>
      </c>
      <c r="E39" s="8">
        <v>25.5</v>
      </c>
      <c r="F39" s="8">
        <v>40</v>
      </c>
      <c r="G39" s="14">
        <v>4</v>
      </c>
      <c r="H39" s="10">
        <f t="shared" si="0"/>
        <v>0.90500000000000003</v>
      </c>
      <c r="I39" s="57">
        <f t="shared" si="1"/>
        <v>3.62</v>
      </c>
    </row>
    <row r="40" spans="2:9" x14ac:dyDescent="0.25">
      <c r="B40" s="58" t="s">
        <v>38</v>
      </c>
      <c r="C40" s="13">
        <v>0</v>
      </c>
      <c r="D40" s="8">
        <v>25</v>
      </c>
      <c r="E40" s="8">
        <v>40</v>
      </c>
      <c r="F40" s="8">
        <v>40</v>
      </c>
      <c r="G40" s="14">
        <v>4</v>
      </c>
      <c r="H40" s="10">
        <f t="shared" si="0"/>
        <v>1.05</v>
      </c>
      <c r="I40" s="57">
        <f t="shared" si="1"/>
        <v>4.2</v>
      </c>
    </row>
    <row r="41" spans="2:9" x14ac:dyDescent="0.25">
      <c r="B41" s="58" t="s">
        <v>42</v>
      </c>
      <c r="C41" s="13">
        <v>25</v>
      </c>
      <c r="D41" s="8">
        <v>0</v>
      </c>
      <c r="E41" s="8">
        <v>25.5</v>
      </c>
      <c r="F41" s="8">
        <v>25.5</v>
      </c>
      <c r="G41" s="14">
        <v>4</v>
      </c>
      <c r="H41" s="10">
        <f t="shared" si="0"/>
        <v>0.76</v>
      </c>
      <c r="I41" s="57">
        <f t="shared" si="1"/>
        <v>3.04</v>
      </c>
    </row>
    <row r="42" spans="2:9" x14ac:dyDescent="0.25">
      <c r="B42" s="58" t="s">
        <v>41</v>
      </c>
      <c r="C42" s="13">
        <v>25</v>
      </c>
      <c r="D42" s="8">
        <v>25</v>
      </c>
      <c r="E42" s="8">
        <v>40</v>
      </c>
      <c r="F42" s="8">
        <v>40</v>
      </c>
      <c r="G42" s="14">
        <v>4</v>
      </c>
      <c r="H42" s="10">
        <f t="shared" si="0"/>
        <v>1.3</v>
      </c>
      <c r="I42" s="57">
        <f t="shared" si="1"/>
        <v>5.2</v>
      </c>
    </row>
    <row r="43" spans="2:9" x14ac:dyDescent="0.25">
      <c r="B43" s="58" t="s">
        <v>44</v>
      </c>
      <c r="C43" s="13">
        <v>25</v>
      </c>
      <c r="D43" s="8">
        <v>0</v>
      </c>
      <c r="E43" s="8">
        <v>25.5</v>
      </c>
      <c r="F43" s="8">
        <v>25.5</v>
      </c>
      <c r="G43" s="14">
        <v>4</v>
      </c>
      <c r="H43" s="10">
        <f t="shared" si="0"/>
        <v>0.76</v>
      </c>
      <c r="I43" s="57">
        <f t="shared" si="1"/>
        <v>3.04</v>
      </c>
    </row>
    <row r="44" spans="2:9" x14ac:dyDescent="0.25">
      <c r="B44" s="58" t="s">
        <v>43</v>
      </c>
      <c r="C44" s="13">
        <v>25</v>
      </c>
      <c r="D44" s="8">
        <v>25</v>
      </c>
      <c r="E44" s="8">
        <v>40</v>
      </c>
      <c r="F44" s="8">
        <v>40</v>
      </c>
      <c r="G44" s="14">
        <v>4</v>
      </c>
      <c r="H44" s="10">
        <f t="shared" si="0"/>
        <v>1.3</v>
      </c>
      <c r="I44" s="57">
        <f t="shared" si="1"/>
        <v>5.2</v>
      </c>
    </row>
    <row r="45" spans="2:9" x14ac:dyDescent="0.25">
      <c r="B45" s="58" t="s">
        <v>46</v>
      </c>
      <c r="C45" s="13">
        <v>25</v>
      </c>
      <c r="D45" s="8">
        <v>0</v>
      </c>
      <c r="E45" s="8">
        <v>25.5</v>
      </c>
      <c r="F45" s="8">
        <v>25.5</v>
      </c>
      <c r="G45" s="14">
        <v>4</v>
      </c>
      <c r="H45" s="10">
        <f t="shared" si="0"/>
        <v>0.76</v>
      </c>
      <c r="I45" s="57">
        <f t="shared" si="1"/>
        <v>3.04</v>
      </c>
    </row>
    <row r="46" spans="2:9" x14ac:dyDescent="0.25">
      <c r="B46" s="58" t="s">
        <v>45</v>
      </c>
      <c r="C46" s="13">
        <v>25</v>
      </c>
      <c r="D46" s="8">
        <v>25</v>
      </c>
      <c r="E46" s="8">
        <v>40</v>
      </c>
      <c r="F46" s="8">
        <v>40</v>
      </c>
      <c r="G46" s="14">
        <v>4</v>
      </c>
      <c r="H46" s="10">
        <f t="shared" si="0"/>
        <v>1.3</v>
      </c>
      <c r="I46" s="57">
        <f t="shared" si="1"/>
        <v>5.2</v>
      </c>
    </row>
    <row r="47" spans="2:9" x14ac:dyDescent="0.25">
      <c r="B47" s="58" t="s">
        <v>48</v>
      </c>
      <c r="C47" s="13">
        <v>25</v>
      </c>
      <c r="D47" s="8">
        <v>0</v>
      </c>
      <c r="E47" s="8">
        <v>25.5</v>
      </c>
      <c r="F47" s="8">
        <v>25.5</v>
      </c>
      <c r="G47" s="14">
        <v>4</v>
      </c>
      <c r="H47" s="10">
        <f t="shared" si="0"/>
        <v>0.76</v>
      </c>
      <c r="I47" s="57">
        <f t="shared" si="1"/>
        <v>3.04</v>
      </c>
    </row>
    <row r="48" spans="2:9" x14ac:dyDescent="0.25">
      <c r="B48" s="58" t="s">
        <v>47</v>
      </c>
      <c r="C48" s="13">
        <v>0</v>
      </c>
      <c r="D48" s="8">
        <v>25</v>
      </c>
      <c r="E48" s="8">
        <v>25.5</v>
      </c>
      <c r="F48" s="8">
        <v>40</v>
      </c>
      <c r="G48" s="14">
        <v>4</v>
      </c>
      <c r="H48" s="10">
        <f t="shared" si="0"/>
        <v>0.90500000000000003</v>
      </c>
      <c r="I48" s="57">
        <f t="shared" si="1"/>
        <v>3.62</v>
      </c>
    </row>
    <row r="49" spans="2:18" x14ac:dyDescent="0.25">
      <c r="B49" s="58" t="s">
        <v>50</v>
      </c>
      <c r="C49" s="13">
        <v>25</v>
      </c>
      <c r="D49" s="8">
        <v>0</v>
      </c>
      <c r="E49" s="8">
        <v>25.5</v>
      </c>
      <c r="F49" s="8">
        <v>25.5</v>
      </c>
      <c r="G49" s="14">
        <v>4</v>
      </c>
      <c r="H49" s="10">
        <f t="shared" si="0"/>
        <v>0.76</v>
      </c>
      <c r="I49" s="57">
        <f t="shared" si="1"/>
        <v>3.04</v>
      </c>
    </row>
    <row r="50" spans="2:18" x14ac:dyDescent="0.25">
      <c r="B50" s="58" t="s">
        <v>49</v>
      </c>
      <c r="C50" s="13">
        <v>0</v>
      </c>
      <c r="D50" s="8">
        <v>25</v>
      </c>
      <c r="E50" s="8">
        <v>25.5</v>
      </c>
      <c r="F50" s="8">
        <v>25.5</v>
      </c>
      <c r="G50" s="14">
        <v>4</v>
      </c>
      <c r="H50" s="10">
        <f t="shared" si="0"/>
        <v>0.76</v>
      </c>
      <c r="I50" s="57">
        <f t="shared" si="1"/>
        <v>3.04</v>
      </c>
    </row>
    <row r="51" spans="2:18" x14ac:dyDescent="0.25">
      <c r="B51" s="58" t="s">
        <v>52</v>
      </c>
      <c r="C51" s="13">
        <v>25</v>
      </c>
      <c r="D51" s="8">
        <v>0</v>
      </c>
      <c r="E51" s="8">
        <v>25.5</v>
      </c>
      <c r="F51" s="8">
        <v>40</v>
      </c>
      <c r="G51" s="14">
        <v>4</v>
      </c>
      <c r="H51" s="10">
        <f t="shared" si="0"/>
        <v>0.90500000000000003</v>
      </c>
      <c r="I51" s="57">
        <f t="shared" si="1"/>
        <v>3.62</v>
      </c>
    </row>
    <row r="52" spans="2:18" ht="15.75" thickBot="1" x14ac:dyDescent="0.3">
      <c r="B52" s="59" t="s">
        <v>51</v>
      </c>
      <c r="C52" s="16">
        <v>0</v>
      </c>
      <c r="D52" s="17">
        <v>25</v>
      </c>
      <c r="E52" s="17">
        <v>40</v>
      </c>
      <c r="F52" s="17">
        <v>25.5</v>
      </c>
      <c r="G52" s="18">
        <v>4</v>
      </c>
      <c r="H52" s="19">
        <f t="shared" si="0"/>
        <v>0.90500000000000003</v>
      </c>
      <c r="I52" s="60">
        <f t="shared" si="1"/>
        <v>3.62</v>
      </c>
    </row>
    <row r="55" spans="2:18" ht="15.75" thickBot="1" x14ac:dyDescent="0.3">
      <c r="B55" s="23" t="s">
        <v>87</v>
      </c>
      <c r="C55" s="23"/>
      <c r="D55" s="23"/>
      <c r="E55" s="23"/>
      <c r="F55" s="23"/>
      <c r="G55" s="23"/>
      <c r="H55" s="23"/>
      <c r="I55" s="23"/>
      <c r="K55" s="23" t="s">
        <v>87</v>
      </c>
      <c r="L55" s="23"/>
      <c r="M55" s="23"/>
      <c r="N55" s="23"/>
      <c r="O55" s="23"/>
      <c r="P55" s="23"/>
      <c r="Q55" s="23"/>
      <c r="R55" s="23"/>
    </row>
    <row r="56" spans="2:18" ht="15.75" thickBot="1" x14ac:dyDescent="0.3">
      <c r="B56" s="4" t="s">
        <v>88</v>
      </c>
      <c r="C56" s="2" t="s">
        <v>1</v>
      </c>
      <c r="D56" s="3" t="s">
        <v>2</v>
      </c>
      <c r="E56" s="3" t="s">
        <v>3</v>
      </c>
      <c r="F56" s="3" t="s">
        <v>11</v>
      </c>
      <c r="G56" s="3" t="s">
        <v>4</v>
      </c>
      <c r="H56" s="2" t="s">
        <v>5</v>
      </c>
      <c r="I56" s="4" t="s">
        <v>6</v>
      </c>
      <c r="K56" s="4" t="s">
        <v>88</v>
      </c>
      <c r="L56" s="2" t="s">
        <v>1</v>
      </c>
      <c r="M56" s="3" t="s">
        <v>2</v>
      </c>
      <c r="N56" s="3" t="s">
        <v>3</v>
      </c>
      <c r="O56" s="3" t="s">
        <v>11</v>
      </c>
      <c r="P56" s="3" t="s">
        <v>4</v>
      </c>
      <c r="Q56" s="2" t="s">
        <v>5</v>
      </c>
      <c r="R56" s="4" t="s">
        <v>6</v>
      </c>
    </row>
    <row r="57" spans="2:18" x14ac:dyDescent="0.25">
      <c r="B57" s="65" t="s">
        <v>107</v>
      </c>
      <c r="C57" s="25"/>
      <c r="D57" s="26"/>
      <c r="E57" s="26"/>
      <c r="F57" s="26"/>
      <c r="G57" s="27"/>
      <c r="H57" s="28"/>
      <c r="I57" s="27"/>
      <c r="K57" s="65" t="s">
        <v>107</v>
      </c>
      <c r="L57" s="25"/>
      <c r="M57" s="26"/>
      <c r="N57" s="26"/>
      <c r="O57" s="26"/>
      <c r="P57" s="27"/>
      <c r="Q57" s="28"/>
      <c r="R57" s="27"/>
    </row>
    <row r="58" spans="2:18" x14ac:dyDescent="0.25">
      <c r="B58" s="66" t="s">
        <v>90</v>
      </c>
      <c r="C58" s="13">
        <v>40</v>
      </c>
      <c r="D58" s="8">
        <v>21</v>
      </c>
      <c r="E58" s="8"/>
      <c r="F58" s="8"/>
      <c r="G58" s="14"/>
      <c r="H58" s="10"/>
      <c r="I58" s="57">
        <f>C58*D58/10000</f>
        <v>8.4000000000000005E-2</v>
      </c>
      <c r="K58" s="66" t="s">
        <v>163</v>
      </c>
      <c r="L58" s="13">
        <v>0</v>
      </c>
      <c r="M58" s="8"/>
      <c r="N58" s="8"/>
      <c r="O58" s="8">
        <v>40</v>
      </c>
      <c r="P58" s="14">
        <v>0.21</v>
      </c>
      <c r="Q58" s="10">
        <f t="shared" ref="Q58:Q67" si="4">(L58+M58+N58+O58)/100</f>
        <v>0.4</v>
      </c>
      <c r="R58" s="57">
        <f t="shared" ref="R58:R67" si="5">Q58*P58</f>
        <v>8.4000000000000005E-2</v>
      </c>
    </row>
    <row r="59" spans="2:18" x14ac:dyDescent="0.25">
      <c r="B59" s="66" t="s">
        <v>91</v>
      </c>
      <c r="C59" s="13">
        <v>0</v>
      </c>
      <c r="D59" s="8">
        <v>21</v>
      </c>
      <c r="E59" s="8">
        <v>40</v>
      </c>
      <c r="F59" s="8">
        <v>40</v>
      </c>
      <c r="G59" s="14">
        <v>1.0049999999999999</v>
      </c>
      <c r="H59" s="10">
        <f>(E59+D59+F59)/100</f>
        <v>1.01</v>
      </c>
      <c r="I59" s="57">
        <f>H59*G59</f>
        <v>1.01505</v>
      </c>
      <c r="K59" s="66" t="s">
        <v>164</v>
      </c>
      <c r="L59" s="13">
        <v>0</v>
      </c>
      <c r="M59" s="8"/>
      <c r="N59" s="8"/>
      <c r="O59" s="8">
        <f>(80+58.13)/2</f>
        <v>69.064999999999998</v>
      </c>
      <c r="P59" s="14">
        <v>5.18</v>
      </c>
      <c r="Q59" s="10">
        <f t="shared" si="4"/>
        <v>0.69064999999999999</v>
      </c>
      <c r="R59" s="57">
        <f t="shared" si="5"/>
        <v>3.5775669999999997</v>
      </c>
    </row>
    <row r="60" spans="2:18" x14ac:dyDescent="0.25">
      <c r="B60" s="66" t="s">
        <v>92</v>
      </c>
      <c r="C60" s="13">
        <v>0</v>
      </c>
      <c r="D60" s="8">
        <v>16</v>
      </c>
      <c r="E60" s="8">
        <v>81</v>
      </c>
      <c r="F60" s="8">
        <v>0</v>
      </c>
      <c r="G60" s="14">
        <v>15.61</v>
      </c>
      <c r="H60" s="10">
        <f>(E60+D60)/100</f>
        <v>0.97</v>
      </c>
      <c r="I60" s="57">
        <f>H60*G60</f>
        <v>15.141699999999998</v>
      </c>
      <c r="K60" s="66" t="s">
        <v>76</v>
      </c>
      <c r="L60" s="13">
        <v>0</v>
      </c>
      <c r="M60" s="8"/>
      <c r="N60" s="8"/>
      <c r="O60" s="8">
        <v>15</v>
      </c>
      <c r="P60" s="14">
        <v>2.46</v>
      </c>
      <c r="Q60" s="10">
        <f t="shared" si="4"/>
        <v>0.15</v>
      </c>
      <c r="R60" s="57">
        <f t="shared" si="5"/>
        <v>0.36899999999999999</v>
      </c>
    </row>
    <row r="61" spans="2:18" x14ac:dyDescent="0.25">
      <c r="B61" s="66" t="s">
        <v>108</v>
      </c>
      <c r="C61" s="13">
        <v>40</v>
      </c>
      <c r="D61" s="8">
        <v>21</v>
      </c>
      <c r="E61" s="8"/>
      <c r="F61" s="8"/>
      <c r="G61" s="14"/>
      <c r="H61" s="10"/>
      <c r="I61" s="57">
        <f>C61*D61/10000</f>
        <v>8.4000000000000005E-2</v>
      </c>
      <c r="K61" s="66" t="s">
        <v>165</v>
      </c>
      <c r="L61" s="13">
        <v>0</v>
      </c>
      <c r="M61" s="8"/>
      <c r="N61" s="8"/>
      <c r="O61" s="8">
        <f>(58.13+80)/2</f>
        <v>69.064999999999998</v>
      </c>
      <c r="P61" s="14">
        <v>4.7149999999999999</v>
      </c>
      <c r="Q61" s="10">
        <f t="shared" si="4"/>
        <v>0.69064999999999999</v>
      </c>
      <c r="R61" s="57">
        <f t="shared" si="5"/>
        <v>3.2564147499999998</v>
      </c>
    </row>
    <row r="62" spans="2:18" x14ac:dyDescent="0.25">
      <c r="B62" s="66" t="s">
        <v>93</v>
      </c>
      <c r="C62" s="13">
        <v>0</v>
      </c>
      <c r="D62" s="8">
        <v>21</v>
      </c>
      <c r="E62" s="8">
        <v>40</v>
      </c>
      <c r="F62" s="8">
        <v>40</v>
      </c>
      <c r="G62" s="14">
        <v>1.0049999999999999</v>
      </c>
      <c r="H62" s="10">
        <f>(E62+D62+F62)/100</f>
        <v>1.01</v>
      </c>
      <c r="I62" s="57">
        <f>H62*G62</f>
        <v>1.01505</v>
      </c>
      <c r="K62" s="66" t="s">
        <v>166</v>
      </c>
      <c r="L62" s="13">
        <v>0</v>
      </c>
      <c r="M62" s="8">
        <v>16</v>
      </c>
      <c r="N62" s="8"/>
      <c r="O62" s="8">
        <v>39.5</v>
      </c>
      <c r="P62" s="14">
        <v>0.21</v>
      </c>
      <c r="Q62" s="10">
        <f t="shared" si="4"/>
        <v>0.55500000000000005</v>
      </c>
      <c r="R62" s="57">
        <f t="shared" si="5"/>
        <v>0.11655</v>
      </c>
    </row>
    <row r="63" spans="2:18" x14ac:dyDescent="0.25">
      <c r="B63" s="66" t="s">
        <v>99</v>
      </c>
      <c r="C63" s="13">
        <v>40</v>
      </c>
      <c r="D63" s="8">
        <v>21</v>
      </c>
      <c r="E63" s="8"/>
      <c r="F63" s="8"/>
      <c r="G63" s="14"/>
      <c r="H63" s="10"/>
      <c r="I63" s="57">
        <f>C63*D63/10000</f>
        <v>8.4000000000000005E-2</v>
      </c>
      <c r="K63" s="66" t="s">
        <v>167</v>
      </c>
      <c r="L63" s="13">
        <v>0</v>
      </c>
      <c r="M63" s="8"/>
      <c r="N63" s="8">
        <v>40</v>
      </c>
      <c r="O63" s="8"/>
      <c r="P63" s="14">
        <v>0.21</v>
      </c>
      <c r="Q63" s="10">
        <f t="shared" si="4"/>
        <v>0.4</v>
      </c>
      <c r="R63" s="57">
        <f t="shared" si="5"/>
        <v>8.4000000000000005E-2</v>
      </c>
    </row>
    <row r="64" spans="2:18" x14ac:dyDescent="0.25">
      <c r="B64" s="66" t="s">
        <v>100</v>
      </c>
      <c r="C64" s="13">
        <v>0</v>
      </c>
      <c r="D64" s="8">
        <v>21</v>
      </c>
      <c r="E64" s="8">
        <v>40</v>
      </c>
      <c r="F64" s="8">
        <v>40</v>
      </c>
      <c r="G64" s="14">
        <v>1.0049999999999999</v>
      </c>
      <c r="H64" s="10">
        <f>(E64+D64+F64)/100</f>
        <v>1.01</v>
      </c>
      <c r="I64" s="57">
        <f>H64*G64</f>
        <v>1.01505</v>
      </c>
      <c r="K64" s="66" t="s">
        <v>168</v>
      </c>
      <c r="L64" s="13">
        <v>0</v>
      </c>
      <c r="M64" s="8"/>
      <c r="N64" s="8">
        <f>(80+58.13)/2</f>
        <v>69.064999999999998</v>
      </c>
      <c r="O64" s="8"/>
      <c r="P64" s="14">
        <v>5.1750999999999996</v>
      </c>
      <c r="Q64" s="10">
        <f t="shared" si="4"/>
        <v>0.69064999999999999</v>
      </c>
      <c r="R64" s="57">
        <f t="shared" si="5"/>
        <v>3.5741828149999995</v>
      </c>
    </row>
    <row r="65" spans="2:18" x14ac:dyDescent="0.25">
      <c r="B65" s="66" t="s">
        <v>101</v>
      </c>
      <c r="C65" s="13">
        <v>0</v>
      </c>
      <c r="D65" s="8">
        <v>16</v>
      </c>
      <c r="E65" s="8">
        <v>81</v>
      </c>
      <c r="F65" s="8">
        <v>0</v>
      </c>
      <c r="G65" s="14">
        <v>15.61</v>
      </c>
      <c r="H65" s="10">
        <f>(E65+D65)/100</f>
        <v>0.97</v>
      </c>
      <c r="I65" s="57">
        <f>H65*G65</f>
        <v>15.141699999999998</v>
      </c>
      <c r="K65" s="66" t="s">
        <v>86</v>
      </c>
      <c r="L65" s="13">
        <v>0</v>
      </c>
      <c r="M65" s="8"/>
      <c r="N65" s="8">
        <v>15</v>
      </c>
      <c r="O65" s="8"/>
      <c r="P65" s="14">
        <v>2.46</v>
      </c>
      <c r="Q65" s="10">
        <f t="shared" si="4"/>
        <v>0.15</v>
      </c>
      <c r="R65" s="57">
        <f t="shared" si="5"/>
        <v>0.36899999999999999</v>
      </c>
    </row>
    <row r="66" spans="2:18" x14ac:dyDescent="0.25">
      <c r="B66" s="66" t="s">
        <v>109</v>
      </c>
      <c r="C66" s="13">
        <v>40</v>
      </c>
      <c r="D66" s="8">
        <v>21</v>
      </c>
      <c r="E66" s="8"/>
      <c r="F66" s="8"/>
      <c r="G66" s="14"/>
      <c r="H66" s="10"/>
      <c r="I66" s="57">
        <f>C66*D66/10000</f>
        <v>8.4000000000000005E-2</v>
      </c>
      <c r="K66" s="66" t="s">
        <v>169</v>
      </c>
      <c r="L66" s="13">
        <v>0</v>
      </c>
      <c r="M66" s="8"/>
      <c r="N66" s="8">
        <f>(58.13+80)/2</f>
        <v>69.064999999999998</v>
      </c>
      <c r="O66" s="8"/>
      <c r="P66" s="14">
        <v>4.7149999999999999</v>
      </c>
      <c r="Q66" s="10">
        <f t="shared" si="4"/>
        <v>0.69064999999999999</v>
      </c>
      <c r="R66" s="57">
        <f t="shared" si="5"/>
        <v>3.2564147499999998</v>
      </c>
    </row>
    <row r="67" spans="2:18" x14ac:dyDescent="0.25">
      <c r="B67" s="66" t="s">
        <v>102</v>
      </c>
      <c r="C67" s="13">
        <v>0</v>
      </c>
      <c r="D67" s="8">
        <v>21</v>
      </c>
      <c r="E67" s="8">
        <v>40</v>
      </c>
      <c r="F67" s="8">
        <v>40</v>
      </c>
      <c r="G67" s="14">
        <v>1.0049999999999999</v>
      </c>
      <c r="H67" s="10">
        <f>(E67+D67+F67)/100</f>
        <v>1.01</v>
      </c>
      <c r="I67" s="57">
        <f>H67*G67</f>
        <v>1.01505</v>
      </c>
      <c r="K67" s="66" t="s">
        <v>170</v>
      </c>
      <c r="L67" s="13">
        <v>0</v>
      </c>
      <c r="M67" s="8"/>
      <c r="N67" s="8">
        <v>40</v>
      </c>
      <c r="O67" s="8"/>
      <c r="P67" s="14">
        <v>0.21</v>
      </c>
      <c r="Q67" s="10">
        <f t="shared" si="4"/>
        <v>0.4</v>
      </c>
      <c r="R67" s="57">
        <f t="shared" si="5"/>
        <v>8.4000000000000005E-2</v>
      </c>
    </row>
    <row r="68" spans="2:18" x14ac:dyDescent="0.25">
      <c r="B68" s="65" t="s">
        <v>89</v>
      </c>
      <c r="C68" s="36"/>
      <c r="D68" s="26"/>
      <c r="E68" s="26"/>
      <c r="F68" s="26"/>
      <c r="G68" s="27"/>
      <c r="H68" s="28"/>
      <c r="I68" s="27"/>
      <c r="K68" s="65" t="s">
        <v>89</v>
      </c>
      <c r="L68" s="36"/>
      <c r="M68" s="26"/>
      <c r="N68" s="26"/>
      <c r="O68" s="26"/>
      <c r="P68" s="27"/>
      <c r="Q68" s="28"/>
      <c r="R68" s="27"/>
    </row>
    <row r="69" spans="2:18" x14ac:dyDescent="0.25">
      <c r="B69" s="66" t="s">
        <v>90</v>
      </c>
      <c r="C69" s="13">
        <v>40</v>
      </c>
      <c r="D69" s="8">
        <v>21</v>
      </c>
      <c r="E69" s="8"/>
      <c r="F69" s="8"/>
      <c r="G69" s="14"/>
      <c r="H69" s="10"/>
      <c r="I69" s="57">
        <f>C69*D69/10000</f>
        <v>8.4000000000000005E-2</v>
      </c>
      <c r="K69" s="66" t="s">
        <v>124</v>
      </c>
      <c r="L69" s="13">
        <v>0</v>
      </c>
      <c r="M69" s="8">
        <v>0</v>
      </c>
      <c r="N69" s="8">
        <v>0</v>
      </c>
      <c r="O69" s="8">
        <v>120</v>
      </c>
      <c r="P69" s="14">
        <v>0.21</v>
      </c>
      <c r="Q69" s="10">
        <f t="shared" ref="Q69:Q126" si="6">(L69+M69+N69+O69)/100</f>
        <v>1.2</v>
      </c>
      <c r="R69" s="57">
        <f t="shared" ref="R69:R126" si="7">Q69*P69</f>
        <v>0.252</v>
      </c>
    </row>
    <row r="70" spans="2:18" x14ac:dyDescent="0.25">
      <c r="B70" s="66" t="s">
        <v>91</v>
      </c>
      <c r="C70" s="13">
        <v>0</v>
      </c>
      <c r="D70" s="8">
        <v>21</v>
      </c>
      <c r="E70" s="8">
        <v>40</v>
      </c>
      <c r="F70" s="8">
        <v>40</v>
      </c>
      <c r="G70" s="14">
        <v>1.2</v>
      </c>
      <c r="H70" s="10">
        <f>(E70+D70+F70)/100</f>
        <v>1.01</v>
      </c>
      <c r="I70" s="57">
        <f t="shared" ref="I70:I76" si="8">H70*G70</f>
        <v>1.212</v>
      </c>
      <c r="K70" s="66" t="s">
        <v>125</v>
      </c>
      <c r="L70" s="13">
        <v>0</v>
      </c>
      <c r="M70" s="8">
        <v>0</v>
      </c>
      <c r="N70" s="8">
        <v>0</v>
      </c>
      <c r="O70" s="8">
        <f>(158.77+138.95)/2</f>
        <v>148.86000000000001</v>
      </c>
      <c r="P70" s="14">
        <v>4.9763999999999999</v>
      </c>
      <c r="Q70" s="10">
        <f t="shared" si="6"/>
        <v>1.4886000000000001</v>
      </c>
      <c r="R70" s="57">
        <f t="shared" si="7"/>
        <v>7.4078690400000005</v>
      </c>
    </row>
    <row r="71" spans="2:18" x14ac:dyDescent="0.25">
      <c r="B71" s="66" t="s">
        <v>92</v>
      </c>
      <c r="C71" s="13">
        <v>0</v>
      </c>
      <c r="D71" s="8">
        <v>26</v>
      </c>
      <c r="E71" s="8">
        <v>80</v>
      </c>
      <c r="F71" s="8">
        <v>80</v>
      </c>
      <c r="G71" s="14">
        <v>7.93</v>
      </c>
      <c r="H71" s="10">
        <f>(E71+D71)/100</f>
        <v>1.06</v>
      </c>
      <c r="I71" s="57">
        <f t="shared" si="8"/>
        <v>8.4057999999999993</v>
      </c>
      <c r="K71" s="66" t="s">
        <v>126</v>
      </c>
      <c r="L71" s="13">
        <v>0</v>
      </c>
      <c r="M71" s="8">
        <v>0</v>
      </c>
      <c r="N71" s="8">
        <f>(138.95+133.61)/2</f>
        <v>136.28</v>
      </c>
      <c r="O71" s="8">
        <f>(138.95+133.61)/2</f>
        <v>136.28</v>
      </c>
      <c r="P71" s="14">
        <v>1.3286</v>
      </c>
      <c r="Q71" s="10">
        <f t="shared" si="6"/>
        <v>2.7256</v>
      </c>
      <c r="R71" s="57">
        <f t="shared" si="7"/>
        <v>3.6212321599999999</v>
      </c>
    </row>
    <row r="72" spans="2:18" x14ac:dyDescent="0.25">
      <c r="B72" s="66" t="s">
        <v>93</v>
      </c>
      <c r="C72" s="13">
        <v>0</v>
      </c>
      <c r="D72" s="8">
        <v>26</v>
      </c>
      <c r="E72" s="8">
        <v>80</v>
      </c>
      <c r="F72" s="8">
        <v>0</v>
      </c>
      <c r="G72" s="14">
        <v>9.9967000000000006</v>
      </c>
      <c r="H72" s="10">
        <f>(E72+D72)/100</f>
        <v>1.06</v>
      </c>
      <c r="I72" s="57">
        <f t="shared" si="8"/>
        <v>10.596502000000001</v>
      </c>
      <c r="K72" s="66" t="s">
        <v>127</v>
      </c>
      <c r="L72" s="13">
        <v>0</v>
      </c>
      <c r="M72" s="8">
        <v>0</v>
      </c>
      <c r="N72" s="8">
        <v>9.5299999999999994</v>
      </c>
      <c r="O72" s="8">
        <v>90</v>
      </c>
      <c r="P72" s="14">
        <v>2.4550000000000001</v>
      </c>
      <c r="Q72" s="10">
        <f t="shared" si="6"/>
        <v>0.99529999999999996</v>
      </c>
      <c r="R72" s="57">
        <f t="shared" si="7"/>
        <v>2.4434615000000002</v>
      </c>
    </row>
    <row r="73" spans="2:18" x14ac:dyDescent="0.25">
      <c r="B73" s="66" t="s">
        <v>94</v>
      </c>
      <c r="C73" s="13">
        <v>0</v>
      </c>
      <c r="D73" s="8">
        <v>31</v>
      </c>
      <c r="E73" s="8">
        <v>80</v>
      </c>
      <c r="F73" s="8">
        <v>80</v>
      </c>
      <c r="G73" s="14">
        <v>18.149999999999999</v>
      </c>
      <c r="H73" s="10">
        <f>(E73+D73)/100</f>
        <v>1.1100000000000001</v>
      </c>
      <c r="I73" s="57">
        <f t="shared" si="8"/>
        <v>20.1465</v>
      </c>
      <c r="K73" s="66" t="s">
        <v>128</v>
      </c>
      <c r="L73" s="13">
        <v>0</v>
      </c>
      <c r="M73" s="8">
        <v>0</v>
      </c>
      <c r="N73" s="8">
        <f>(54+79)/2</f>
        <v>66.5</v>
      </c>
      <c r="O73" s="8">
        <f>(159.2+133.5)/2</f>
        <v>146.35</v>
      </c>
      <c r="P73" s="14">
        <v>6.2914000000000003</v>
      </c>
      <c r="Q73" s="10">
        <f t="shared" si="6"/>
        <v>2.1284999999999998</v>
      </c>
      <c r="R73" s="57">
        <f t="shared" si="7"/>
        <v>13.3912449</v>
      </c>
    </row>
    <row r="74" spans="2:18" x14ac:dyDescent="0.25">
      <c r="B74" s="66" t="s">
        <v>96</v>
      </c>
      <c r="C74" s="13">
        <v>0</v>
      </c>
      <c r="D74" s="8">
        <v>31</v>
      </c>
      <c r="E74" s="8">
        <v>80</v>
      </c>
      <c r="F74" s="8">
        <v>80</v>
      </c>
      <c r="G74" s="14">
        <v>24.193000000000001</v>
      </c>
      <c r="H74" s="10">
        <f>(E74+D74)/100</f>
        <v>1.1100000000000001</v>
      </c>
      <c r="I74" s="57">
        <f t="shared" si="8"/>
        <v>26.854230000000005</v>
      </c>
      <c r="K74" s="66" t="s">
        <v>129</v>
      </c>
      <c r="L74" s="13">
        <v>0</v>
      </c>
      <c r="M74" s="8">
        <v>0</v>
      </c>
      <c r="N74" s="8">
        <v>0</v>
      </c>
      <c r="O74" s="8">
        <v>120</v>
      </c>
      <c r="P74" s="14">
        <v>0.21</v>
      </c>
      <c r="Q74" s="10">
        <f t="shared" si="6"/>
        <v>1.2</v>
      </c>
      <c r="R74" s="57">
        <f t="shared" si="7"/>
        <v>0.252</v>
      </c>
    </row>
    <row r="75" spans="2:18" x14ac:dyDescent="0.25">
      <c r="B75" s="66" t="s">
        <v>97</v>
      </c>
      <c r="C75" s="13">
        <v>0</v>
      </c>
      <c r="D75" s="8">
        <v>26</v>
      </c>
      <c r="E75" s="8">
        <v>80</v>
      </c>
      <c r="F75" s="8">
        <v>0</v>
      </c>
      <c r="G75" s="14">
        <v>11.966699999999999</v>
      </c>
      <c r="H75" s="10">
        <f>(E75+D75)/100</f>
        <v>1.06</v>
      </c>
      <c r="I75" s="57">
        <f t="shared" si="8"/>
        <v>12.684702</v>
      </c>
      <c r="K75" s="66" t="s">
        <v>71</v>
      </c>
      <c r="L75" s="13">
        <v>0</v>
      </c>
      <c r="M75" s="8">
        <v>21</v>
      </c>
      <c r="N75" s="8">
        <f>(58.99+53.6)/2</f>
        <v>56.295000000000002</v>
      </c>
      <c r="O75" s="8">
        <f>(58.99+53.6)/2</f>
        <v>56.295000000000002</v>
      </c>
      <c r="P75" s="14">
        <v>1.3274999999999999</v>
      </c>
      <c r="Q75" s="10">
        <f t="shared" si="6"/>
        <v>1.3359000000000001</v>
      </c>
      <c r="R75" s="57">
        <f t="shared" si="7"/>
        <v>1.77340725</v>
      </c>
    </row>
    <row r="76" spans="2:18" x14ac:dyDescent="0.25">
      <c r="B76" s="66" t="s">
        <v>98</v>
      </c>
      <c r="C76" s="13">
        <v>0</v>
      </c>
      <c r="D76" s="8">
        <v>21</v>
      </c>
      <c r="E76" s="8">
        <v>40</v>
      </c>
      <c r="F76" s="8">
        <v>40</v>
      </c>
      <c r="G76" s="14">
        <v>1.2</v>
      </c>
      <c r="H76" s="10">
        <f t="shared" ref="H76" si="9">(E76+D76)/100</f>
        <v>0.61</v>
      </c>
      <c r="I76" s="57">
        <f t="shared" si="8"/>
        <v>0.73199999999999998</v>
      </c>
      <c r="K76" s="66" t="s">
        <v>72</v>
      </c>
      <c r="L76" s="13">
        <v>0</v>
      </c>
      <c r="M76" s="8">
        <v>21</v>
      </c>
      <c r="N76" s="8">
        <v>10</v>
      </c>
      <c r="O76" s="8">
        <v>10</v>
      </c>
      <c r="P76" s="14">
        <v>2.4550000000000001</v>
      </c>
      <c r="Q76" s="10">
        <f t="shared" si="6"/>
        <v>0.41</v>
      </c>
      <c r="R76" s="57">
        <f t="shared" si="7"/>
        <v>1.0065500000000001</v>
      </c>
    </row>
    <row r="77" spans="2:18" x14ac:dyDescent="0.25">
      <c r="B77" s="66" t="s">
        <v>174</v>
      </c>
      <c r="C77" s="13">
        <v>40</v>
      </c>
      <c r="D77" s="8">
        <v>21</v>
      </c>
      <c r="E77" s="8"/>
      <c r="F77" s="8"/>
      <c r="G77" s="14"/>
      <c r="H77" s="10"/>
      <c r="I77" s="57">
        <f>C77*D77/10000</f>
        <v>8.4000000000000005E-2</v>
      </c>
      <c r="K77" s="66" t="s">
        <v>175</v>
      </c>
      <c r="L77" s="13">
        <v>0</v>
      </c>
      <c r="M77" s="8">
        <v>21</v>
      </c>
      <c r="N77" s="8">
        <f>(78.78+53.6)/2</f>
        <v>66.19</v>
      </c>
      <c r="O77" s="8">
        <f>(78.78+53.6)/2</f>
        <v>66.19</v>
      </c>
      <c r="P77" s="14">
        <v>6.2104999999999997</v>
      </c>
      <c r="Q77" s="10">
        <f t="shared" si="6"/>
        <v>1.5338000000000001</v>
      </c>
      <c r="R77" s="57">
        <f t="shared" si="7"/>
        <v>9.5256649000000007</v>
      </c>
    </row>
    <row r="78" spans="2:18" x14ac:dyDescent="0.25">
      <c r="B78" s="66" t="s">
        <v>99</v>
      </c>
      <c r="C78" s="13">
        <v>40</v>
      </c>
      <c r="D78" s="8">
        <v>21</v>
      </c>
      <c r="E78" s="8"/>
      <c r="F78" s="8"/>
      <c r="G78" s="14"/>
      <c r="H78" s="10"/>
      <c r="I78" s="57">
        <f>C78*D78/10000</f>
        <v>8.4000000000000005E-2</v>
      </c>
      <c r="K78" s="66" t="s">
        <v>176</v>
      </c>
      <c r="L78" s="13">
        <v>0</v>
      </c>
      <c r="M78" s="8">
        <v>0</v>
      </c>
      <c r="N78" s="8">
        <v>0</v>
      </c>
      <c r="O78" s="8">
        <v>0</v>
      </c>
      <c r="P78" s="14"/>
      <c r="Q78" s="10">
        <f t="shared" si="6"/>
        <v>0</v>
      </c>
      <c r="R78" s="57">
        <f t="shared" si="7"/>
        <v>0</v>
      </c>
    </row>
    <row r="79" spans="2:18" x14ac:dyDescent="0.25">
      <c r="B79" s="66" t="s">
        <v>100</v>
      </c>
      <c r="C79" s="13">
        <v>0</v>
      </c>
      <c r="D79" s="8">
        <v>21</v>
      </c>
      <c r="E79" s="8">
        <v>40</v>
      </c>
      <c r="F79" s="8">
        <v>40</v>
      </c>
      <c r="G79" s="14">
        <v>1.2</v>
      </c>
      <c r="H79" s="10">
        <f>(E79+D79+F79)/100</f>
        <v>1.01</v>
      </c>
      <c r="I79" s="57">
        <f t="shared" ref="I79:I85" si="10">H79*G79</f>
        <v>1.212</v>
      </c>
      <c r="K79" s="66" t="s">
        <v>177</v>
      </c>
      <c r="L79" s="13">
        <v>0</v>
      </c>
      <c r="M79" s="8">
        <v>0</v>
      </c>
      <c r="N79" s="8">
        <v>0</v>
      </c>
      <c r="O79" s="8">
        <v>0</v>
      </c>
      <c r="P79" s="14"/>
      <c r="Q79" s="10">
        <f t="shared" si="6"/>
        <v>0</v>
      </c>
      <c r="R79" s="57">
        <f t="shared" si="7"/>
        <v>0</v>
      </c>
    </row>
    <row r="80" spans="2:18" x14ac:dyDescent="0.25">
      <c r="B80" s="66" t="s">
        <v>101</v>
      </c>
      <c r="C80" s="13">
        <v>0</v>
      </c>
      <c r="D80" s="8">
        <v>24</v>
      </c>
      <c r="E80" s="8">
        <v>80</v>
      </c>
      <c r="F80" s="8">
        <v>80</v>
      </c>
      <c r="G80" s="14">
        <v>7.93</v>
      </c>
      <c r="H80" s="10">
        <f>(E80+D80)/100</f>
        <v>1.04</v>
      </c>
      <c r="I80" s="57">
        <f t="shared" si="10"/>
        <v>8.2471999999999994</v>
      </c>
      <c r="K80" s="66" t="s">
        <v>178</v>
      </c>
      <c r="L80" s="13">
        <v>0</v>
      </c>
      <c r="M80" s="8">
        <v>0</v>
      </c>
      <c r="N80" s="8">
        <v>0</v>
      </c>
      <c r="O80" s="8">
        <v>0</v>
      </c>
      <c r="P80" s="14"/>
      <c r="Q80" s="10">
        <f t="shared" si="6"/>
        <v>0</v>
      </c>
      <c r="R80" s="57">
        <f t="shared" si="7"/>
        <v>0</v>
      </c>
    </row>
    <row r="81" spans="2:18" x14ac:dyDescent="0.25">
      <c r="B81" s="66" t="s">
        <v>102</v>
      </c>
      <c r="C81" s="13">
        <v>0</v>
      </c>
      <c r="D81" s="8">
        <v>24</v>
      </c>
      <c r="E81" s="8">
        <v>80</v>
      </c>
      <c r="F81" s="8">
        <v>0</v>
      </c>
      <c r="G81" s="14">
        <v>18.125</v>
      </c>
      <c r="H81" s="10">
        <f>(E81+D81)/100</f>
        <v>1.04</v>
      </c>
      <c r="I81" s="57">
        <f t="shared" si="10"/>
        <v>18.850000000000001</v>
      </c>
      <c r="K81" s="66" t="s">
        <v>179</v>
      </c>
      <c r="L81" s="13">
        <v>0</v>
      </c>
      <c r="M81" s="8">
        <v>0</v>
      </c>
      <c r="N81" s="8">
        <f>(53.63+78.77)/2</f>
        <v>66.2</v>
      </c>
      <c r="O81" s="8">
        <v>0</v>
      </c>
      <c r="P81" s="14">
        <v>6.1950000000000003</v>
      </c>
      <c r="Q81" s="10">
        <f t="shared" si="6"/>
        <v>0.66200000000000003</v>
      </c>
      <c r="R81" s="57">
        <f t="shared" si="7"/>
        <v>4.1010900000000001</v>
      </c>
    </row>
    <row r="82" spans="2:18" x14ac:dyDescent="0.25">
      <c r="B82" s="66" t="s">
        <v>103</v>
      </c>
      <c r="C82" s="13">
        <v>0</v>
      </c>
      <c r="D82" s="8">
        <v>24</v>
      </c>
      <c r="E82" s="8">
        <v>80</v>
      </c>
      <c r="F82" s="8">
        <v>80</v>
      </c>
      <c r="G82" s="14">
        <v>17.71</v>
      </c>
      <c r="H82" s="10">
        <f>(E82+D82)/100</f>
        <v>1.04</v>
      </c>
      <c r="I82" s="57">
        <f t="shared" si="10"/>
        <v>18.418400000000002</v>
      </c>
      <c r="K82" s="66" t="s">
        <v>180</v>
      </c>
      <c r="L82" s="13">
        <v>0</v>
      </c>
      <c r="M82" s="8">
        <v>0</v>
      </c>
      <c r="N82" s="8">
        <v>10</v>
      </c>
      <c r="O82" s="8">
        <v>0</v>
      </c>
      <c r="P82" s="14">
        <v>2.4550000000000001</v>
      </c>
      <c r="Q82" s="10">
        <f t="shared" si="6"/>
        <v>0.1</v>
      </c>
      <c r="R82" s="57">
        <f t="shared" si="7"/>
        <v>0.24550000000000002</v>
      </c>
    </row>
    <row r="83" spans="2:18" x14ac:dyDescent="0.25">
      <c r="B83" s="66" t="s">
        <v>105</v>
      </c>
      <c r="C83" s="13">
        <v>0</v>
      </c>
      <c r="D83" s="8">
        <v>26</v>
      </c>
      <c r="E83" s="8">
        <v>80</v>
      </c>
      <c r="F83" s="8">
        <v>80</v>
      </c>
      <c r="G83" s="14">
        <v>24.173300000000001</v>
      </c>
      <c r="H83" s="10">
        <f>(E83+D83)/100</f>
        <v>1.06</v>
      </c>
      <c r="I83" s="57">
        <f t="shared" si="10"/>
        <v>25.623698000000001</v>
      </c>
      <c r="K83" s="66" t="s">
        <v>181</v>
      </c>
      <c r="L83" s="13">
        <v>0</v>
      </c>
      <c r="M83" s="8">
        <v>0</v>
      </c>
      <c r="N83" s="8">
        <f>(53.5+78.77)/2</f>
        <v>66.134999999999991</v>
      </c>
      <c r="O83" s="8">
        <v>0</v>
      </c>
      <c r="P83" s="14">
        <v>6.2110000000000003</v>
      </c>
      <c r="Q83" s="10">
        <f t="shared" si="6"/>
        <v>0.66134999999999988</v>
      </c>
      <c r="R83" s="57">
        <f t="shared" si="7"/>
        <v>4.1076448499999998</v>
      </c>
    </row>
    <row r="84" spans="2:18" x14ac:dyDescent="0.25">
      <c r="B84" s="66" t="s">
        <v>106</v>
      </c>
      <c r="C84" s="13">
        <v>0</v>
      </c>
      <c r="D84" s="8">
        <v>26</v>
      </c>
      <c r="E84" s="8">
        <v>80</v>
      </c>
      <c r="F84" s="8">
        <v>0</v>
      </c>
      <c r="G84" s="14">
        <v>11.982100000000001</v>
      </c>
      <c r="H84" s="10">
        <f>(E84+D84)/100</f>
        <v>1.06</v>
      </c>
      <c r="I84" s="57">
        <f t="shared" si="10"/>
        <v>12.701026000000002</v>
      </c>
      <c r="K84" s="66" t="s">
        <v>182</v>
      </c>
      <c r="L84" s="13">
        <v>0</v>
      </c>
      <c r="M84" s="8">
        <v>21</v>
      </c>
      <c r="N84" s="8">
        <f>(78.77+53.5)/2</f>
        <v>66.134999999999991</v>
      </c>
      <c r="O84" s="8">
        <f>(78.77+53.5)/2</f>
        <v>66.134999999999991</v>
      </c>
      <c r="P84" s="14">
        <v>6.2110000000000003</v>
      </c>
      <c r="Q84" s="10">
        <f t="shared" si="6"/>
        <v>1.5326999999999997</v>
      </c>
      <c r="R84" s="57">
        <f t="shared" si="7"/>
        <v>9.5195996999999988</v>
      </c>
    </row>
    <row r="85" spans="2:18" x14ac:dyDescent="0.25">
      <c r="B85" s="66" t="s">
        <v>110</v>
      </c>
      <c r="C85" s="13">
        <v>0</v>
      </c>
      <c r="D85" s="8">
        <v>21</v>
      </c>
      <c r="E85" s="8">
        <v>40</v>
      </c>
      <c r="F85" s="8">
        <v>40</v>
      </c>
      <c r="G85" s="14">
        <v>1.2</v>
      </c>
      <c r="H85" s="10">
        <f t="shared" ref="H85" si="11">(E85+D85)/100</f>
        <v>0.61</v>
      </c>
      <c r="I85" s="57">
        <f t="shared" si="10"/>
        <v>0.73199999999999998</v>
      </c>
      <c r="K85" s="66" t="s">
        <v>183</v>
      </c>
      <c r="L85" s="13">
        <v>0</v>
      </c>
      <c r="M85" s="8">
        <v>21</v>
      </c>
      <c r="N85" s="8">
        <v>10</v>
      </c>
      <c r="O85" s="8">
        <v>10</v>
      </c>
      <c r="P85" s="14">
        <v>2.4550000000000001</v>
      </c>
      <c r="Q85" s="10">
        <f t="shared" si="6"/>
        <v>0.41</v>
      </c>
      <c r="R85" s="57">
        <f t="shared" si="7"/>
        <v>1.0065500000000001</v>
      </c>
    </row>
    <row r="86" spans="2:18" x14ac:dyDescent="0.25">
      <c r="B86" s="66" t="s">
        <v>174</v>
      </c>
      <c r="C86" s="13">
        <v>40</v>
      </c>
      <c r="D86" s="8">
        <v>21</v>
      </c>
      <c r="E86" s="8"/>
      <c r="F86" s="8"/>
      <c r="G86" s="14"/>
      <c r="H86" s="10"/>
      <c r="I86" s="57">
        <f>C86*D86/10000</f>
        <v>8.4000000000000005E-2</v>
      </c>
      <c r="K86" s="66" t="s">
        <v>184</v>
      </c>
      <c r="L86" s="13">
        <v>0</v>
      </c>
      <c r="M86" s="8">
        <v>21</v>
      </c>
      <c r="N86" s="8">
        <f>(53.61+78.77)/2</f>
        <v>66.19</v>
      </c>
      <c r="O86" s="8">
        <f>(53.61+78.77)/2</f>
        <v>66.19</v>
      </c>
      <c r="P86" s="14">
        <v>6.19</v>
      </c>
      <c r="Q86" s="10">
        <f t="shared" si="6"/>
        <v>1.5338000000000001</v>
      </c>
      <c r="R86" s="57">
        <f t="shared" si="7"/>
        <v>9.4942220000000006</v>
      </c>
    </row>
    <row r="87" spans="2:18" x14ac:dyDescent="0.25">
      <c r="K87" s="66" t="s">
        <v>73</v>
      </c>
      <c r="L87" s="13">
        <v>0</v>
      </c>
      <c r="M87" s="8">
        <v>21</v>
      </c>
      <c r="N87" s="8">
        <f>(78.77+53.5)/2</f>
        <v>66.134999999999991</v>
      </c>
      <c r="O87" s="8">
        <f>(78.77+53.5)/2</f>
        <v>66.134999999999991</v>
      </c>
      <c r="P87" s="14">
        <v>6.2110000000000003</v>
      </c>
      <c r="Q87" s="10">
        <f t="shared" si="6"/>
        <v>1.5326999999999997</v>
      </c>
      <c r="R87" s="57">
        <f t="shared" si="7"/>
        <v>9.5195996999999988</v>
      </c>
    </row>
    <row r="88" spans="2:18" x14ac:dyDescent="0.25">
      <c r="K88" s="66" t="s">
        <v>74</v>
      </c>
      <c r="L88" s="13">
        <v>0</v>
      </c>
      <c r="M88" s="8">
        <v>21</v>
      </c>
      <c r="N88" s="8">
        <v>10</v>
      </c>
      <c r="O88" s="8">
        <v>10</v>
      </c>
      <c r="P88" s="14">
        <v>2.4550000000000001</v>
      </c>
      <c r="Q88" s="10">
        <f t="shared" si="6"/>
        <v>0.41</v>
      </c>
      <c r="R88" s="57">
        <f t="shared" si="7"/>
        <v>1.0065500000000001</v>
      </c>
    </row>
    <row r="89" spans="2:18" x14ac:dyDescent="0.25">
      <c r="K89" s="66" t="s">
        <v>185</v>
      </c>
      <c r="L89" s="13">
        <v>0</v>
      </c>
      <c r="M89" s="8">
        <v>21</v>
      </c>
      <c r="N89" s="8">
        <f>(53.61+78.77)/2</f>
        <v>66.19</v>
      </c>
      <c r="O89" s="8">
        <f>(53.61+78.77)/2</f>
        <v>66.19</v>
      </c>
      <c r="P89" s="14">
        <v>6.19</v>
      </c>
      <c r="Q89" s="10">
        <f t="shared" si="6"/>
        <v>1.5338000000000001</v>
      </c>
      <c r="R89" s="57">
        <f t="shared" si="7"/>
        <v>9.4942220000000006</v>
      </c>
    </row>
    <row r="90" spans="2:18" x14ac:dyDescent="0.25">
      <c r="K90" s="66" t="s">
        <v>186</v>
      </c>
      <c r="L90" s="13">
        <v>0</v>
      </c>
      <c r="M90" s="8">
        <v>0</v>
      </c>
      <c r="N90" s="8">
        <f>(78.77+53.6)/2</f>
        <v>66.185000000000002</v>
      </c>
      <c r="O90" s="8"/>
      <c r="P90" s="14">
        <v>6.19</v>
      </c>
      <c r="Q90" s="10">
        <f t="shared" si="6"/>
        <v>0.66185000000000005</v>
      </c>
      <c r="R90" s="57">
        <f t="shared" si="7"/>
        <v>4.0968515000000005</v>
      </c>
    </row>
    <row r="91" spans="2:18" x14ac:dyDescent="0.25">
      <c r="K91" s="66" t="s">
        <v>187</v>
      </c>
      <c r="L91" s="13">
        <v>0</v>
      </c>
      <c r="M91" s="8">
        <v>0</v>
      </c>
      <c r="N91" s="8"/>
      <c r="O91" s="8">
        <f>(80)</f>
        <v>80</v>
      </c>
      <c r="P91" s="14">
        <v>1.5249999999999999</v>
      </c>
      <c r="Q91" s="10">
        <f t="shared" si="6"/>
        <v>0.8</v>
      </c>
      <c r="R91" s="57">
        <f t="shared" si="7"/>
        <v>1.22</v>
      </c>
    </row>
    <row r="92" spans="2:18" x14ac:dyDescent="0.25">
      <c r="K92" s="66" t="s">
        <v>188</v>
      </c>
      <c r="L92" s="13">
        <v>0</v>
      </c>
      <c r="M92" s="8">
        <v>0</v>
      </c>
      <c r="N92" s="8"/>
      <c r="O92" s="8">
        <v>80</v>
      </c>
      <c r="P92" s="14">
        <v>1.1204000000000001</v>
      </c>
      <c r="Q92" s="10">
        <f t="shared" si="6"/>
        <v>0.8</v>
      </c>
      <c r="R92" s="57">
        <f t="shared" si="7"/>
        <v>0.89632000000000012</v>
      </c>
    </row>
    <row r="93" spans="2:18" x14ac:dyDescent="0.25">
      <c r="K93" s="66" t="s">
        <v>189</v>
      </c>
      <c r="L93" s="13">
        <v>0</v>
      </c>
      <c r="M93" s="8">
        <v>0</v>
      </c>
      <c r="N93" s="8">
        <v>0</v>
      </c>
      <c r="O93" s="8">
        <v>10</v>
      </c>
      <c r="P93" s="14">
        <v>2.4550000000000001</v>
      </c>
      <c r="Q93" s="10">
        <f t="shared" si="6"/>
        <v>0.1</v>
      </c>
      <c r="R93" s="57">
        <f t="shared" si="7"/>
        <v>0.24550000000000002</v>
      </c>
    </row>
    <row r="94" spans="2:18" x14ac:dyDescent="0.25">
      <c r="K94" s="66" t="s">
        <v>190</v>
      </c>
      <c r="L94" s="13">
        <v>0</v>
      </c>
      <c r="M94" s="8">
        <v>0</v>
      </c>
      <c r="N94" s="8">
        <f>(53.5+78.77)/2</f>
        <v>66.134999999999991</v>
      </c>
      <c r="O94" s="8"/>
      <c r="P94" s="14">
        <v>6.21</v>
      </c>
      <c r="Q94" s="10">
        <f t="shared" si="6"/>
        <v>0.66134999999999988</v>
      </c>
      <c r="R94" s="57">
        <f t="shared" si="7"/>
        <v>4.1069834999999992</v>
      </c>
    </row>
    <row r="95" spans="2:18" x14ac:dyDescent="0.25">
      <c r="K95" s="66" t="s">
        <v>191</v>
      </c>
      <c r="L95" s="13">
        <v>0</v>
      </c>
      <c r="M95" s="8">
        <v>0</v>
      </c>
      <c r="N95" s="8"/>
      <c r="O95" s="8">
        <f>(80)</f>
        <v>80</v>
      </c>
      <c r="P95" s="14">
        <v>1.51</v>
      </c>
      <c r="Q95" s="10">
        <f t="shared" si="6"/>
        <v>0.8</v>
      </c>
      <c r="R95" s="57">
        <f t="shared" si="7"/>
        <v>1.2080000000000002</v>
      </c>
    </row>
    <row r="96" spans="2:18" x14ac:dyDescent="0.25">
      <c r="K96" s="66" t="s">
        <v>192</v>
      </c>
      <c r="L96" s="13">
        <v>0</v>
      </c>
      <c r="M96" s="8">
        <v>0</v>
      </c>
      <c r="N96" s="8"/>
      <c r="O96" s="8">
        <v>80</v>
      </c>
      <c r="P96" s="14">
        <v>1.105</v>
      </c>
      <c r="Q96" s="10">
        <f t="shared" si="6"/>
        <v>0.8</v>
      </c>
      <c r="R96" s="57">
        <f t="shared" si="7"/>
        <v>0.88400000000000001</v>
      </c>
    </row>
    <row r="97" spans="11:18" x14ac:dyDescent="0.25">
      <c r="K97" s="66" t="s">
        <v>193</v>
      </c>
      <c r="L97" s="13">
        <v>0</v>
      </c>
      <c r="M97" s="8">
        <v>0</v>
      </c>
      <c r="N97" s="8">
        <f>(78.77+53.48)/2</f>
        <v>66.125</v>
      </c>
      <c r="O97" s="8"/>
      <c r="P97" s="14">
        <v>6.2149999999999999</v>
      </c>
      <c r="Q97" s="10">
        <f t="shared" si="6"/>
        <v>0.66125</v>
      </c>
      <c r="R97" s="57">
        <f t="shared" si="7"/>
        <v>4.10966875</v>
      </c>
    </row>
    <row r="98" spans="11:18" x14ac:dyDescent="0.25">
      <c r="K98" s="66" t="s">
        <v>194</v>
      </c>
      <c r="L98" s="13">
        <v>0</v>
      </c>
      <c r="M98" s="8">
        <v>0</v>
      </c>
      <c r="N98" s="8"/>
      <c r="O98" s="8">
        <f>(80)</f>
        <v>80</v>
      </c>
      <c r="P98" s="14">
        <v>1.5162</v>
      </c>
      <c r="Q98" s="10">
        <f t="shared" si="6"/>
        <v>0.8</v>
      </c>
      <c r="R98" s="57">
        <f t="shared" si="7"/>
        <v>1.21296</v>
      </c>
    </row>
    <row r="99" spans="11:18" x14ac:dyDescent="0.25">
      <c r="K99" s="66" t="s">
        <v>195</v>
      </c>
      <c r="L99" s="13">
        <v>0</v>
      </c>
      <c r="M99" s="8">
        <v>0</v>
      </c>
      <c r="N99" s="8"/>
      <c r="O99" s="8">
        <v>80</v>
      </c>
      <c r="P99" s="14">
        <v>1.1415999999999999</v>
      </c>
      <c r="Q99" s="10">
        <f t="shared" si="6"/>
        <v>0.8</v>
      </c>
      <c r="R99" s="57">
        <f t="shared" si="7"/>
        <v>0.91327999999999998</v>
      </c>
    </row>
    <row r="100" spans="11:18" x14ac:dyDescent="0.25">
      <c r="K100" s="66" t="s">
        <v>196</v>
      </c>
      <c r="L100" s="13">
        <v>0</v>
      </c>
      <c r="M100" s="8">
        <v>0</v>
      </c>
      <c r="N100" s="8">
        <v>0</v>
      </c>
      <c r="O100" s="8">
        <v>10</v>
      </c>
      <c r="P100" s="14">
        <v>2.4550000000000001</v>
      </c>
      <c r="Q100" s="10">
        <f t="shared" si="6"/>
        <v>0.1</v>
      </c>
      <c r="R100" s="57">
        <f t="shared" si="7"/>
        <v>0.24550000000000002</v>
      </c>
    </row>
    <row r="101" spans="11:18" x14ac:dyDescent="0.25">
      <c r="K101" s="66" t="s">
        <v>197</v>
      </c>
      <c r="L101" s="13">
        <v>0</v>
      </c>
      <c r="M101" s="8">
        <v>0</v>
      </c>
      <c r="N101" s="8">
        <f>(53.59+78.78)/2</f>
        <v>66.185000000000002</v>
      </c>
      <c r="O101" s="8"/>
      <c r="P101" s="14">
        <v>6.1951999999999998</v>
      </c>
      <c r="Q101" s="10">
        <f t="shared" si="6"/>
        <v>0.66185000000000005</v>
      </c>
      <c r="R101" s="57">
        <f t="shared" si="7"/>
        <v>4.1002931199999999</v>
      </c>
    </row>
    <row r="102" spans="11:18" x14ac:dyDescent="0.25">
      <c r="K102" s="66" t="s">
        <v>198</v>
      </c>
      <c r="L102" s="13">
        <v>0</v>
      </c>
      <c r="M102" s="8">
        <v>0</v>
      </c>
      <c r="N102" s="8"/>
      <c r="O102" s="8">
        <f>(80)</f>
        <v>80</v>
      </c>
      <c r="P102" s="14">
        <v>1.5262</v>
      </c>
      <c r="Q102" s="10">
        <f t="shared" si="6"/>
        <v>0.8</v>
      </c>
      <c r="R102" s="57">
        <f t="shared" si="7"/>
        <v>1.22096</v>
      </c>
    </row>
    <row r="103" spans="11:18" x14ac:dyDescent="0.25">
      <c r="K103" s="66" t="s">
        <v>199</v>
      </c>
      <c r="L103" s="13">
        <v>0</v>
      </c>
      <c r="M103" s="8">
        <v>0</v>
      </c>
      <c r="N103" s="8"/>
      <c r="O103" s="8">
        <v>80</v>
      </c>
      <c r="P103" s="14">
        <v>1.125</v>
      </c>
      <c r="Q103" s="10">
        <f t="shared" si="6"/>
        <v>0.8</v>
      </c>
      <c r="R103" s="57">
        <f t="shared" si="7"/>
        <v>0.9</v>
      </c>
    </row>
    <row r="104" spans="11:18" x14ac:dyDescent="0.25">
      <c r="K104" s="66" t="s">
        <v>200</v>
      </c>
      <c r="L104" s="13">
        <v>0</v>
      </c>
      <c r="M104" s="8">
        <v>21</v>
      </c>
      <c r="N104" s="8">
        <f>(78.77+53.5)/2</f>
        <v>66.134999999999991</v>
      </c>
      <c r="O104" s="8">
        <f>(78.77+53.5)/2</f>
        <v>66.134999999999991</v>
      </c>
      <c r="P104" s="14">
        <v>6.2110000000000003</v>
      </c>
      <c r="Q104" s="10">
        <f t="shared" si="6"/>
        <v>1.5326999999999997</v>
      </c>
      <c r="R104" s="57">
        <f t="shared" si="7"/>
        <v>9.5195996999999988</v>
      </c>
    </row>
    <row r="105" spans="11:18" x14ac:dyDescent="0.25">
      <c r="K105" s="66" t="s">
        <v>196</v>
      </c>
      <c r="L105" s="13">
        <v>0</v>
      </c>
      <c r="M105" s="8">
        <v>21</v>
      </c>
      <c r="N105" s="8">
        <v>10</v>
      </c>
      <c r="O105" s="8">
        <v>10</v>
      </c>
      <c r="P105" s="14">
        <v>2.4550000000000001</v>
      </c>
      <c r="Q105" s="10">
        <f t="shared" si="6"/>
        <v>0.41</v>
      </c>
      <c r="R105" s="57">
        <f t="shared" si="7"/>
        <v>1.0065500000000001</v>
      </c>
    </row>
    <row r="106" spans="11:18" x14ac:dyDescent="0.25">
      <c r="K106" s="66" t="s">
        <v>201</v>
      </c>
      <c r="L106" s="13">
        <v>0</v>
      </c>
      <c r="M106" s="8">
        <v>21</v>
      </c>
      <c r="N106" s="8">
        <f>(53.61+78.77)/2</f>
        <v>66.19</v>
      </c>
      <c r="O106" s="8">
        <f>(53.61+78.77)/2</f>
        <v>66.19</v>
      </c>
      <c r="P106" s="14">
        <v>6.19</v>
      </c>
      <c r="Q106" s="10">
        <f t="shared" si="6"/>
        <v>1.5338000000000001</v>
      </c>
      <c r="R106" s="57">
        <f t="shared" si="7"/>
        <v>9.4942220000000006</v>
      </c>
    </row>
    <row r="107" spans="11:18" x14ac:dyDescent="0.25">
      <c r="K107" s="66" t="s">
        <v>202</v>
      </c>
      <c r="L107" s="13">
        <v>0</v>
      </c>
      <c r="M107" s="8">
        <v>21</v>
      </c>
      <c r="N107" s="8">
        <f>(78.77+53.5)/2</f>
        <v>66.134999999999991</v>
      </c>
      <c r="O107" s="8">
        <f>(78.77+53.5)/2</f>
        <v>66.134999999999991</v>
      </c>
      <c r="P107" s="14">
        <v>6.2110000000000003</v>
      </c>
      <c r="Q107" s="10">
        <f t="shared" si="6"/>
        <v>1.5326999999999997</v>
      </c>
      <c r="R107" s="57">
        <f t="shared" si="7"/>
        <v>9.5195996999999988</v>
      </c>
    </row>
    <row r="108" spans="11:18" x14ac:dyDescent="0.25">
      <c r="K108" s="66" t="s">
        <v>203</v>
      </c>
      <c r="L108" s="13">
        <v>0</v>
      </c>
      <c r="M108" s="8">
        <v>21</v>
      </c>
      <c r="N108" s="8">
        <v>10</v>
      </c>
      <c r="O108" s="8">
        <v>10</v>
      </c>
      <c r="P108" s="14">
        <v>2.4550000000000001</v>
      </c>
      <c r="Q108" s="10">
        <f t="shared" si="6"/>
        <v>0.41</v>
      </c>
      <c r="R108" s="57">
        <f t="shared" si="7"/>
        <v>1.0065500000000001</v>
      </c>
    </row>
    <row r="109" spans="11:18" x14ac:dyDescent="0.25">
      <c r="K109" s="66" t="s">
        <v>204</v>
      </c>
      <c r="L109" s="13">
        <v>0</v>
      </c>
      <c r="M109" s="8">
        <v>21</v>
      </c>
      <c r="N109" s="8">
        <f>(53.61+78.77)/2</f>
        <v>66.19</v>
      </c>
      <c r="O109" s="8">
        <f>(53.61+78.77)/2</f>
        <v>66.19</v>
      </c>
      <c r="P109" s="14">
        <v>6.19</v>
      </c>
      <c r="Q109" s="10">
        <f t="shared" si="6"/>
        <v>1.5338000000000001</v>
      </c>
      <c r="R109" s="57">
        <f t="shared" si="7"/>
        <v>9.4942220000000006</v>
      </c>
    </row>
    <row r="110" spans="11:18" x14ac:dyDescent="0.25">
      <c r="K110" s="66" t="s">
        <v>205</v>
      </c>
      <c r="L110" s="13">
        <v>0</v>
      </c>
      <c r="M110" s="8">
        <v>21</v>
      </c>
      <c r="N110" s="8">
        <f>(78.77+53.5)/2</f>
        <v>66.134999999999991</v>
      </c>
      <c r="O110" s="8">
        <f>(78.77+53.5)/2</f>
        <v>66.134999999999991</v>
      </c>
      <c r="P110" s="14">
        <v>6.2110000000000003</v>
      </c>
      <c r="Q110" s="10">
        <f t="shared" si="6"/>
        <v>1.5326999999999997</v>
      </c>
      <c r="R110" s="57">
        <f t="shared" si="7"/>
        <v>9.5195996999999988</v>
      </c>
    </row>
    <row r="111" spans="11:18" x14ac:dyDescent="0.25">
      <c r="K111" s="66" t="s">
        <v>206</v>
      </c>
      <c r="L111" s="13">
        <v>0</v>
      </c>
      <c r="M111" s="8">
        <v>21</v>
      </c>
      <c r="N111" s="8">
        <v>10</v>
      </c>
      <c r="O111" s="8">
        <v>10</v>
      </c>
      <c r="P111" s="14">
        <v>2.4550000000000001</v>
      </c>
      <c r="Q111" s="10">
        <f t="shared" si="6"/>
        <v>0.41</v>
      </c>
      <c r="R111" s="57">
        <f t="shared" si="7"/>
        <v>1.0065500000000001</v>
      </c>
    </row>
    <row r="112" spans="11:18" x14ac:dyDescent="0.25">
      <c r="K112" s="66" t="s">
        <v>207</v>
      </c>
      <c r="L112" s="13">
        <v>0</v>
      </c>
      <c r="M112" s="8">
        <v>21</v>
      </c>
      <c r="N112" s="8">
        <f>(53.61+78.77)/2</f>
        <v>66.19</v>
      </c>
      <c r="O112" s="8">
        <f>(53.61+78.77)/2</f>
        <v>66.19</v>
      </c>
      <c r="P112" s="14">
        <v>6.19</v>
      </c>
      <c r="Q112" s="10">
        <f t="shared" si="6"/>
        <v>1.5338000000000001</v>
      </c>
      <c r="R112" s="57">
        <f t="shared" si="7"/>
        <v>9.4942220000000006</v>
      </c>
    </row>
    <row r="113" spans="11:18" x14ac:dyDescent="0.25">
      <c r="K113" s="66" t="s">
        <v>208</v>
      </c>
      <c r="L113" s="13">
        <v>0</v>
      </c>
      <c r="M113" s="8">
        <v>21</v>
      </c>
      <c r="N113" s="8">
        <f>(78.77+53.5)/2</f>
        <v>66.134999999999991</v>
      </c>
      <c r="O113" s="8">
        <f>(78.77+53.5)/2</f>
        <v>66.134999999999991</v>
      </c>
      <c r="P113" s="14">
        <v>6.2110000000000003</v>
      </c>
      <c r="Q113" s="10">
        <f t="shared" si="6"/>
        <v>1.5326999999999997</v>
      </c>
      <c r="R113" s="57">
        <f t="shared" si="7"/>
        <v>9.5195996999999988</v>
      </c>
    </row>
    <row r="114" spans="11:18" x14ac:dyDescent="0.25">
      <c r="K114" s="66" t="s">
        <v>209</v>
      </c>
      <c r="L114" s="13">
        <v>0</v>
      </c>
      <c r="M114" s="8">
        <v>21</v>
      </c>
      <c r="N114" s="8">
        <v>10</v>
      </c>
      <c r="O114" s="8">
        <v>10</v>
      </c>
      <c r="P114" s="14">
        <v>2.4550000000000001</v>
      </c>
      <c r="Q114" s="10">
        <f t="shared" si="6"/>
        <v>0.41</v>
      </c>
      <c r="R114" s="57">
        <f t="shared" si="7"/>
        <v>1.0065500000000001</v>
      </c>
    </row>
    <row r="115" spans="11:18" x14ac:dyDescent="0.25">
      <c r="K115" s="66" t="s">
        <v>210</v>
      </c>
      <c r="L115" s="13">
        <v>0</v>
      </c>
      <c r="M115" s="8">
        <v>21</v>
      </c>
      <c r="N115" s="8">
        <f>(53.61+78.77)/2</f>
        <v>66.19</v>
      </c>
      <c r="O115" s="8">
        <f>(53.61+78.77)/2</f>
        <v>66.19</v>
      </c>
      <c r="P115" s="14">
        <v>6.19</v>
      </c>
      <c r="Q115" s="10">
        <f t="shared" si="6"/>
        <v>1.5338000000000001</v>
      </c>
      <c r="R115" s="57">
        <f t="shared" si="7"/>
        <v>9.4942220000000006</v>
      </c>
    </row>
    <row r="116" spans="11:18" x14ac:dyDescent="0.25">
      <c r="K116" s="66" t="s">
        <v>211</v>
      </c>
      <c r="L116" s="13">
        <v>0</v>
      </c>
      <c r="M116" s="8">
        <v>0</v>
      </c>
      <c r="N116" s="8">
        <f>(78.77+53.5)/2</f>
        <v>66.134999999999991</v>
      </c>
      <c r="O116" s="8">
        <v>0</v>
      </c>
      <c r="P116" s="14">
        <v>6.2110000000000003</v>
      </c>
      <c r="Q116" s="10">
        <f t="shared" si="6"/>
        <v>0.66134999999999988</v>
      </c>
      <c r="R116" s="57">
        <f t="shared" si="7"/>
        <v>4.1076448499999998</v>
      </c>
    </row>
    <row r="117" spans="11:18" x14ac:dyDescent="0.25">
      <c r="K117" s="66" t="s">
        <v>212</v>
      </c>
      <c r="L117" s="13">
        <v>0</v>
      </c>
      <c r="M117" s="8">
        <v>0</v>
      </c>
      <c r="N117" s="8">
        <v>10</v>
      </c>
      <c r="O117" s="8">
        <v>10</v>
      </c>
      <c r="P117" s="14">
        <v>2.4550000000000001</v>
      </c>
      <c r="Q117" s="10">
        <f t="shared" si="6"/>
        <v>0.2</v>
      </c>
      <c r="R117" s="57">
        <f t="shared" si="7"/>
        <v>0.49100000000000005</v>
      </c>
    </row>
    <row r="118" spans="11:18" x14ac:dyDescent="0.25">
      <c r="K118" s="66" t="s">
        <v>213</v>
      </c>
      <c r="L118" s="13">
        <v>0</v>
      </c>
      <c r="M118" s="8">
        <v>0</v>
      </c>
      <c r="N118" s="8">
        <f>(53.61+78.77)/2</f>
        <v>66.19</v>
      </c>
      <c r="O118" s="8">
        <v>0</v>
      </c>
      <c r="P118" s="14">
        <v>6.19</v>
      </c>
      <c r="Q118" s="10">
        <f t="shared" si="6"/>
        <v>0.66189999999999993</v>
      </c>
      <c r="R118" s="57">
        <f t="shared" si="7"/>
        <v>4.0971609999999998</v>
      </c>
    </row>
    <row r="119" spans="11:18" x14ac:dyDescent="0.25">
      <c r="K119" s="66" t="s">
        <v>131</v>
      </c>
      <c r="L119" s="13">
        <v>0</v>
      </c>
      <c r="M119" s="8">
        <v>0</v>
      </c>
      <c r="N119" s="8">
        <v>0</v>
      </c>
      <c r="O119" s="8">
        <v>0</v>
      </c>
      <c r="P119" s="14"/>
      <c r="Q119" s="10">
        <f t="shared" si="6"/>
        <v>0</v>
      </c>
      <c r="R119" s="57">
        <f t="shared" si="7"/>
        <v>0</v>
      </c>
    </row>
    <row r="120" spans="11:18" x14ac:dyDescent="0.25">
      <c r="K120" s="66" t="s">
        <v>132</v>
      </c>
      <c r="L120" s="13">
        <v>0</v>
      </c>
      <c r="M120" s="8">
        <v>0</v>
      </c>
      <c r="N120" s="8">
        <v>0</v>
      </c>
      <c r="O120" s="8">
        <v>0</v>
      </c>
      <c r="P120" s="14"/>
      <c r="Q120" s="10">
        <f t="shared" si="6"/>
        <v>0</v>
      </c>
      <c r="R120" s="57">
        <f t="shared" si="7"/>
        <v>0</v>
      </c>
    </row>
    <row r="121" spans="11:18" x14ac:dyDescent="0.25">
      <c r="K121" s="66" t="s">
        <v>133</v>
      </c>
      <c r="L121" s="13">
        <v>0</v>
      </c>
      <c r="M121" s="8">
        <v>0</v>
      </c>
      <c r="N121" s="8">
        <v>0</v>
      </c>
      <c r="O121" s="8">
        <v>0</v>
      </c>
      <c r="P121" s="14"/>
      <c r="Q121" s="10">
        <f t="shared" si="6"/>
        <v>0</v>
      </c>
      <c r="R121" s="57">
        <f t="shared" si="7"/>
        <v>0</v>
      </c>
    </row>
    <row r="122" spans="11:18" x14ac:dyDescent="0.25">
      <c r="K122" s="66" t="s">
        <v>214</v>
      </c>
      <c r="L122" s="13">
        <v>0</v>
      </c>
      <c r="M122" s="8">
        <v>0</v>
      </c>
      <c r="N122" s="8">
        <v>120.01</v>
      </c>
      <c r="O122" s="8">
        <v>0</v>
      </c>
      <c r="P122" s="14">
        <v>0.21</v>
      </c>
      <c r="Q122" s="10">
        <f t="shared" si="6"/>
        <v>1.2000999999999999</v>
      </c>
      <c r="R122" s="57">
        <f t="shared" si="7"/>
        <v>0.252021</v>
      </c>
    </row>
    <row r="123" spans="11:18" x14ac:dyDescent="0.25">
      <c r="K123" s="66" t="s">
        <v>215</v>
      </c>
      <c r="L123" s="13">
        <v>0</v>
      </c>
      <c r="M123" s="8">
        <v>0</v>
      </c>
      <c r="N123" s="8">
        <f>(158.77+133.5)/2</f>
        <v>146.13499999999999</v>
      </c>
      <c r="O123" s="8">
        <v>0</v>
      </c>
      <c r="P123" s="14">
        <v>6.3029999999999999</v>
      </c>
      <c r="Q123" s="10">
        <f t="shared" si="6"/>
        <v>1.4613499999999999</v>
      </c>
      <c r="R123" s="57">
        <f t="shared" si="7"/>
        <v>9.2108890499999987</v>
      </c>
    </row>
    <row r="124" spans="11:18" x14ac:dyDescent="0.25">
      <c r="K124" s="66" t="s">
        <v>216</v>
      </c>
      <c r="L124" s="13">
        <v>0</v>
      </c>
      <c r="M124" s="8">
        <v>0</v>
      </c>
      <c r="N124" s="8">
        <v>90</v>
      </c>
      <c r="O124" s="8">
        <v>0</v>
      </c>
      <c r="P124" s="14">
        <v>2.4550000000000001</v>
      </c>
      <c r="Q124" s="10">
        <f t="shared" si="6"/>
        <v>0.9</v>
      </c>
      <c r="R124" s="57">
        <f t="shared" si="7"/>
        <v>2.2095000000000002</v>
      </c>
    </row>
    <row r="125" spans="11:18" x14ac:dyDescent="0.25">
      <c r="K125" s="66" t="s">
        <v>217</v>
      </c>
      <c r="L125" s="13">
        <v>0</v>
      </c>
      <c r="M125" s="8">
        <v>0</v>
      </c>
      <c r="N125" s="8">
        <f>(133.61+158.77)/2</f>
        <v>146.19</v>
      </c>
      <c r="O125" s="8">
        <v>0</v>
      </c>
      <c r="P125" s="14">
        <v>6.3029999999999999</v>
      </c>
      <c r="Q125" s="10">
        <f t="shared" si="6"/>
        <v>1.4619</v>
      </c>
      <c r="R125" s="57">
        <f t="shared" si="7"/>
        <v>9.2143557000000005</v>
      </c>
    </row>
    <row r="126" spans="11:18" x14ac:dyDescent="0.25">
      <c r="K126" s="66" t="s">
        <v>218</v>
      </c>
      <c r="L126" s="13">
        <v>0</v>
      </c>
      <c r="M126" s="8">
        <v>0</v>
      </c>
      <c r="N126" s="8">
        <v>120.01</v>
      </c>
      <c r="O126" s="8">
        <v>0</v>
      </c>
      <c r="P126" s="14">
        <v>0.21</v>
      </c>
      <c r="Q126" s="10">
        <f t="shared" si="6"/>
        <v>1.2000999999999999</v>
      </c>
      <c r="R126" s="57">
        <f t="shared" si="7"/>
        <v>0.252021</v>
      </c>
    </row>
  </sheetData>
  <mergeCells count="2">
    <mergeCell ref="B1:R1"/>
    <mergeCell ref="B14:R14"/>
  </mergeCells>
  <pageMargins left="0.511811024" right="0.511811024" top="0.78740157499999996" bottom="0.78740157499999996" header="0.31496062000000002" footer="0.3149606200000000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R53"/>
  <sheetViews>
    <sheetView workbookViewId="0">
      <selection activeCell="R23" sqref="R23"/>
    </sheetView>
  </sheetViews>
  <sheetFormatPr defaultRowHeight="15" x14ac:dyDescent="0.25"/>
  <cols>
    <col min="2" max="2" width="30.7109375" customWidth="1"/>
    <col min="3" max="3" width="9.5703125" bestFit="1" customWidth="1"/>
  </cols>
  <sheetData>
    <row r="1" spans="2:18" x14ac:dyDescent="0.25">
      <c r="B1" s="161" t="s">
        <v>313</v>
      </c>
      <c r="C1" s="161"/>
      <c r="D1" s="161"/>
      <c r="E1" s="161"/>
      <c r="F1" s="161"/>
      <c r="G1" s="161"/>
      <c r="H1" s="161"/>
      <c r="I1" s="161"/>
      <c r="J1" s="161"/>
      <c r="K1" s="161"/>
      <c r="L1" s="161"/>
      <c r="M1" s="161"/>
      <c r="N1" s="161"/>
      <c r="O1" s="161"/>
      <c r="P1" s="161"/>
      <c r="Q1" s="161"/>
      <c r="R1" s="161"/>
    </row>
    <row r="2" spans="2:18" ht="15.75" thickBot="1" x14ac:dyDescent="0.3"/>
    <row r="3" spans="2:18" ht="15.75" thickBot="1" x14ac:dyDescent="0.3">
      <c r="B3" s="52" t="s">
        <v>138</v>
      </c>
      <c r="C3" s="37" t="s">
        <v>6</v>
      </c>
      <c r="D3" s="37"/>
    </row>
    <row r="4" spans="2:18" x14ac:dyDescent="0.25">
      <c r="B4" s="38" t="s">
        <v>139</v>
      </c>
      <c r="C4" s="39">
        <f>I22</f>
        <v>68.728319999999997</v>
      </c>
      <c r="D4" s="39"/>
    </row>
    <row r="5" spans="2:18" x14ac:dyDescent="0.25">
      <c r="B5" s="40" t="s">
        <v>88</v>
      </c>
      <c r="C5" s="41">
        <f>I27</f>
        <v>5.5259999999999998</v>
      </c>
      <c r="D5" s="41"/>
    </row>
    <row r="6" spans="2:18" x14ac:dyDescent="0.25">
      <c r="B6" s="140" t="s">
        <v>335</v>
      </c>
      <c r="C6" s="141">
        <f>I44</f>
        <v>54.103628</v>
      </c>
      <c r="D6" s="141"/>
    </row>
    <row r="7" spans="2:18" x14ac:dyDescent="0.25">
      <c r="B7" s="138" t="s">
        <v>320</v>
      </c>
      <c r="C7" s="139">
        <f>I49</f>
        <v>4.3611050000000002</v>
      </c>
      <c r="D7" s="139"/>
    </row>
    <row r="8" spans="2:18" ht="15.75" thickBot="1" x14ac:dyDescent="0.3">
      <c r="B8" s="138" t="s">
        <v>325</v>
      </c>
      <c r="C8" s="139">
        <f>I53</f>
        <v>0.51919999999999999</v>
      </c>
      <c r="D8" s="139"/>
    </row>
    <row r="9" spans="2:18" x14ac:dyDescent="0.25">
      <c r="B9" s="44" t="s">
        <v>141</v>
      </c>
      <c r="C9" s="45">
        <f>SUM(C4:C8)</f>
        <v>133.23825300000001</v>
      </c>
      <c r="D9" s="45"/>
      <c r="E9" t="s">
        <v>142</v>
      </c>
    </row>
    <row r="10" spans="2:18" ht="15.75" thickBot="1" x14ac:dyDescent="0.3">
      <c r="B10" s="46" t="s">
        <v>143</v>
      </c>
      <c r="C10" s="47">
        <v>139.47</v>
      </c>
      <c r="D10" s="47"/>
      <c r="E10" t="s">
        <v>144</v>
      </c>
    </row>
    <row r="11" spans="2:18" ht="15.75" thickBot="1" x14ac:dyDescent="0.3">
      <c r="B11" s="48" t="s">
        <v>145</v>
      </c>
      <c r="C11" s="49">
        <f>C10-C9</f>
        <v>6.2317469999999844</v>
      </c>
      <c r="D11" s="50">
        <f>C11/C9</f>
        <v>4.6771455341732708E-2</v>
      </c>
      <c r="E11" t="s">
        <v>336</v>
      </c>
    </row>
    <row r="13" spans="2:18" x14ac:dyDescent="0.25">
      <c r="B13" s="54" t="s">
        <v>321</v>
      </c>
      <c r="C13" s="53"/>
      <c r="D13" s="53"/>
    </row>
    <row r="17" spans="2:18" x14ac:dyDescent="0.25">
      <c r="B17" s="161" t="s">
        <v>148</v>
      </c>
      <c r="C17" s="161"/>
      <c r="D17" s="161"/>
      <c r="E17" s="161"/>
      <c r="F17" s="161"/>
      <c r="G17" s="161"/>
      <c r="H17" s="161"/>
      <c r="I17" s="161"/>
      <c r="J17" s="161"/>
      <c r="K17" s="161"/>
      <c r="L17" s="161"/>
      <c r="M17" s="161"/>
      <c r="N17" s="161"/>
      <c r="O17" s="161"/>
      <c r="P17" s="161"/>
      <c r="Q17" s="161"/>
      <c r="R17" s="161"/>
    </row>
    <row r="18" spans="2:18" ht="15.75" thickBot="1" x14ac:dyDescent="0.3"/>
    <row r="19" spans="2:18" ht="15.75" thickBot="1" x14ac:dyDescent="0.3">
      <c r="B19" s="4" t="s">
        <v>10</v>
      </c>
      <c r="C19" s="2" t="s">
        <v>1</v>
      </c>
      <c r="D19" s="3" t="s">
        <v>2</v>
      </c>
      <c r="E19" s="3" t="s">
        <v>3</v>
      </c>
      <c r="F19" s="3" t="s">
        <v>11</v>
      </c>
      <c r="G19" s="3" t="s">
        <v>12</v>
      </c>
      <c r="H19" s="2" t="s">
        <v>5</v>
      </c>
      <c r="I19" s="55" t="s">
        <v>6</v>
      </c>
    </row>
    <row r="20" spans="2:18" x14ac:dyDescent="0.25">
      <c r="B20" s="144">
        <v>1</v>
      </c>
      <c r="C20" s="145">
        <v>150</v>
      </c>
      <c r="D20" s="145">
        <v>21</v>
      </c>
      <c r="E20" s="145">
        <v>150</v>
      </c>
      <c r="F20" s="145">
        <v>21</v>
      </c>
      <c r="G20" s="146">
        <v>10.048</v>
      </c>
      <c r="H20" s="147">
        <f>(C20+D20+E20+F20)/100</f>
        <v>3.42</v>
      </c>
      <c r="I20" s="147">
        <f t="shared" ref="I20" si="0">H20*G20</f>
        <v>34.364159999999998</v>
      </c>
    </row>
    <row r="21" spans="2:18" x14ac:dyDescent="0.25">
      <c r="B21" s="148">
        <v>2</v>
      </c>
      <c r="C21" s="149">
        <v>150</v>
      </c>
      <c r="D21" s="149">
        <v>21</v>
      </c>
      <c r="E21" s="149">
        <v>150</v>
      </c>
      <c r="F21" s="149">
        <v>21</v>
      </c>
      <c r="G21" s="150">
        <v>10.048</v>
      </c>
      <c r="H21" s="151">
        <f>(C21+D21+E21+F21)/100</f>
        <v>3.42</v>
      </c>
      <c r="I21" s="151">
        <f t="shared" ref="I21" si="1">H21*G21</f>
        <v>34.364159999999998</v>
      </c>
    </row>
    <row r="22" spans="2:18" x14ac:dyDescent="0.25">
      <c r="H22" t="s">
        <v>319</v>
      </c>
      <c r="I22" s="137">
        <f>SUM(I20:I21)</f>
        <v>68.728319999999997</v>
      </c>
    </row>
    <row r="24" spans="2:18" ht="15.75" thickBot="1" x14ac:dyDescent="0.3"/>
    <row r="25" spans="2:18" ht="15.75" thickBot="1" x14ac:dyDescent="0.3">
      <c r="B25" s="4" t="s">
        <v>88</v>
      </c>
      <c r="C25" s="2" t="s">
        <v>1</v>
      </c>
      <c r="D25" s="3" t="s">
        <v>2</v>
      </c>
      <c r="E25" s="3" t="s">
        <v>3</v>
      </c>
      <c r="F25" s="3" t="s">
        <v>11</v>
      </c>
      <c r="G25" s="3" t="s">
        <v>4</v>
      </c>
      <c r="H25" s="2" t="s">
        <v>5</v>
      </c>
      <c r="I25" s="4" t="s">
        <v>6</v>
      </c>
    </row>
    <row r="26" spans="2:18" x14ac:dyDescent="0.25">
      <c r="B26" s="152" t="s">
        <v>317</v>
      </c>
      <c r="C26" s="153">
        <v>20</v>
      </c>
      <c r="D26" s="153">
        <v>80</v>
      </c>
      <c r="E26" s="153">
        <v>20</v>
      </c>
      <c r="F26" s="153">
        <v>80</v>
      </c>
      <c r="G26" s="154">
        <v>2.7629999999999999</v>
      </c>
      <c r="H26" s="147">
        <f>(C26+D26+E26+F26)/100</f>
        <v>2</v>
      </c>
      <c r="I26" s="147">
        <f t="shared" ref="I26" si="2">H26*G26</f>
        <v>5.5259999999999998</v>
      </c>
    </row>
    <row r="27" spans="2:18" x14ac:dyDescent="0.25">
      <c r="B27" s="134"/>
      <c r="C27" s="135"/>
      <c r="D27" s="135"/>
      <c r="E27" s="135"/>
      <c r="F27" s="135"/>
      <c r="G27" s="136"/>
      <c r="H27" t="s">
        <v>319</v>
      </c>
      <c r="I27" s="137">
        <f>SUM(I26)</f>
        <v>5.5259999999999998</v>
      </c>
    </row>
    <row r="28" spans="2:18" ht="15.75" thickBot="1" x14ac:dyDescent="0.3"/>
    <row r="29" spans="2:18" ht="15.75" thickBot="1" x14ac:dyDescent="0.3">
      <c r="B29" s="4" t="s">
        <v>314</v>
      </c>
      <c r="C29" s="2" t="s">
        <v>1</v>
      </c>
      <c r="D29" s="3" t="s">
        <v>2</v>
      </c>
      <c r="E29" s="3" t="s">
        <v>3</v>
      </c>
      <c r="F29" s="3" t="s">
        <v>11</v>
      </c>
      <c r="G29" s="3" t="s">
        <v>4</v>
      </c>
      <c r="H29" s="2" t="s">
        <v>5</v>
      </c>
      <c r="I29" s="4" t="s">
        <v>6</v>
      </c>
    </row>
    <row r="30" spans="2:18" x14ac:dyDescent="0.25">
      <c r="B30" s="145" t="s">
        <v>316</v>
      </c>
      <c r="C30" s="145">
        <v>500</v>
      </c>
      <c r="D30" s="145">
        <v>300</v>
      </c>
      <c r="E30" s="145">
        <v>500</v>
      </c>
      <c r="F30" s="145">
        <v>300</v>
      </c>
      <c r="G30" s="145">
        <v>2.14</v>
      </c>
      <c r="H30" s="147">
        <f>(C30+D30+E30+F30)/100</f>
        <v>16</v>
      </c>
      <c r="I30" s="147">
        <f>H30*G30</f>
        <v>34.24</v>
      </c>
    </row>
    <row r="31" spans="2:18" x14ac:dyDescent="0.25">
      <c r="B31" s="155" t="s">
        <v>328</v>
      </c>
      <c r="C31" s="149">
        <v>175.3</v>
      </c>
      <c r="D31" s="149"/>
      <c r="E31" s="149"/>
      <c r="F31" s="149"/>
      <c r="G31" s="149">
        <f>2.654-2.14</f>
        <v>0.51399999999999979</v>
      </c>
      <c r="H31" s="151">
        <f t="shared" ref="H31" si="3">(C31+D31+E31+F31)/100</f>
        <v>1.7530000000000001</v>
      </c>
      <c r="I31" s="151">
        <f>(H31*G31/2)</f>
        <v>0.45052099999999984</v>
      </c>
    </row>
    <row r="32" spans="2:18" x14ac:dyDescent="0.25">
      <c r="B32" s="155" t="s">
        <v>329</v>
      </c>
      <c r="C32" s="149">
        <v>175.3</v>
      </c>
      <c r="D32" s="149"/>
      <c r="E32" s="149"/>
      <c r="F32" s="149"/>
      <c r="G32" s="149">
        <f>2.654-2.14</f>
        <v>0.51399999999999979</v>
      </c>
      <c r="H32" s="151">
        <f t="shared" ref="H32" si="4">(C32+D32+E32+F32)/100</f>
        <v>1.7530000000000001</v>
      </c>
      <c r="I32" s="151">
        <f>(H32*G32/2)</f>
        <v>0.45052099999999984</v>
      </c>
    </row>
    <row r="33" spans="2:9" x14ac:dyDescent="0.25">
      <c r="B33" s="155" t="s">
        <v>330</v>
      </c>
      <c r="C33" s="149">
        <v>175.3</v>
      </c>
      <c r="D33" s="149"/>
      <c r="E33" s="149"/>
      <c r="F33" s="149"/>
      <c r="G33" s="149">
        <f>2.654-2.14</f>
        <v>0.51399999999999979</v>
      </c>
      <c r="H33" s="151">
        <f>(C33+D33+E33+F33)/100</f>
        <v>1.7530000000000001</v>
      </c>
      <c r="I33" s="151">
        <f>(H33*G33/2)</f>
        <v>0.45052099999999984</v>
      </c>
    </row>
    <row r="34" spans="2:9" x14ac:dyDescent="0.25">
      <c r="B34" s="155" t="s">
        <v>331</v>
      </c>
      <c r="C34" s="149">
        <v>175.3</v>
      </c>
      <c r="D34" s="149"/>
      <c r="E34" s="149"/>
      <c r="F34" s="149"/>
      <c r="G34" s="149">
        <f>2.654-2.14</f>
        <v>0.51399999999999979</v>
      </c>
      <c r="H34" s="151">
        <f>(C34+D34+E34+F34)/100</f>
        <v>1.7530000000000001</v>
      </c>
      <c r="I34" s="151">
        <f>(H34*G34/2)</f>
        <v>0.45052099999999984</v>
      </c>
    </row>
    <row r="35" spans="2:9" x14ac:dyDescent="0.25">
      <c r="B35" s="149" t="s">
        <v>326</v>
      </c>
      <c r="C35" s="149">
        <v>8.9</v>
      </c>
      <c r="D35" s="149">
        <v>8.9</v>
      </c>
      <c r="E35" s="149"/>
      <c r="F35" s="149"/>
      <c r="G35" s="149">
        <f>(265.4-43)/100</f>
        <v>2.2239999999999998</v>
      </c>
      <c r="H35" s="151">
        <f t="shared" ref="H35:H36" si="5">(C35+D35+E35+F35)/100</f>
        <v>0.17800000000000002</v>
      </c>
      <c r="I35" s="151">
        <f t="shared" ref="I35:I36" si="6">H35*G35</f>
        <v>0.395872</v>
      </c>
    </row>
    <row r="36" spans="2:9" x14ac:dyDescent="0.25">
      <c r="B36" s="149" t="s">
        <v>333</v>
      </c>
      <c r="C36" s="149">
        <v>8.9</v>
      </c>
      <c r="D36" s="149"/>
      <c r="E36" s="149"/>
      <c r="F36" s="149"/>
      <c r="G36" s="149">
        <v>1.5</v>
      </c>
      <c r="H36" s="151">
        <f t="shared" si="5"/>
        <v>8.900000000000001E-2</v>
      </c>
      <c r="I36" s="151">
        <f t="shared" si="6"/>
        <v>0.13350000000000001</v>
      </c>
    </row>
    <row r="37" spans="2:9" x14ac:dyDescent="0.25">
      <c r="B37" s="149" t="s">
        <v>327</v>
      </c>
      <c r="C37" s="149">
        <v>8.9</v>
      </c>
      <c r="D37" s="149">
        <v>8.9</v>
      </c>
      <c r="E37" s="149"/>
      <c r="F37" s="149"/>
      <c r="G37" s="149">
        <f>(265.4-43)/100</f>
        <v>2.2239999999999998</v>
      </c>
      <c r="H37" s="151">
        <f t="shared" ref="H37:H38" si="7">(C37+D37+E37+F37)/100</f>
        <v>0.17800000000000002</v>
      </c>
      <c r="I37" s="151">
        <f t="shared" ref="I37:I38" si="8">H37*G37</f>
        <v>0.395872</v>
      </c>
    </row>
    <row r="38" spans="2:9" x14ac:dyDescent="0.25">
      <c r="B38" s="149" t="s">
        <v>334</v>
      </c>
      <c r="C38" s="149">
        <v>8.9</v>
      </c>
      <c r="D38" s="149"/>
      <c r="E38" s="149"/>
      <c r="F38" s="149"/>
      <c r="G38" s="149">
        <v>1.5</v>
      </c>
      <c r="H38" s="151">
        <f t="shared" si="7"/>
        <v>8.900000000000001E-2</v>
      </c>
      <c r="I38" s="151">
        <f t="shared" si="8"/>
        <v>0.13350000000000001</v>
      </c>
    </row>
    <row r="39" spans="2:9" x14ac:dyDescent="0.25">
      <c r="B39" s="156" t="s">
        <v>332</v>
      </c>
      <c r="C39" s="149">
        <v>150</v>
      </c>
      <c r="D39" s="149"/>
      <c r="E39" s="149"/>
      <c r="F39" s="149"/>
      <c r="G39" s="149">
        <f>2.654-2.14</f>
        <v>0.51399999999999979</v>
      </c>
      <c r="H39" s="151">
        <f t="shared" ref="H39" si="9">(C39+D39+E39+F39)/100</f>
        <v>1.5</v>
      </c>
      <c r="I39" s="151">
        <f>(H39*G39)</f>
        <v>0.77099999999999969</v>
      </c>
    </row>
    <row r="40" spans="2:9" x14ac:dyDescent="0.25">
      <c r="B40" s="156" t="s">
        <v>332</v>
      </c>
      <c r="C40" s="149">
        <v>150</v>
      </c>
      <c r="D40" s="149"/>
      <c r="E40" s="149"/>
      <c r="F40" s="149"/>
      <c r="G40" s="149">
        <f>2.654-2.14</f>
        <v>0.51399999999999979</v>
      </c>
      <c r="H40" s="151">
        <f t="shared" ref="H40" si="10">(C40+D40+E40+F40)/100</f>
        <v>1.5</v>
      </c>
      <c r="I40" s="151">
        <f t="shared" ref="I40:I43" si="11">(H40*G40)</f>
        <v>0.77099999999999969</v>
      </c>
    </row>
    <row r="41" spans="2:9" x14ac:dyDescent="0.25">
      <c r="B41" s="149" t="s">
        <v>318</v>
      </c>
      <c r="C41" s="149"/>
      <c r="D41" s="149">
        <v>300</v>
      </c>
      <c r="E41" s="149"/>
      <c r="F41" s="149"/>
      <c r="G41" s="149">
        <v>1.8268</v>
      </c>
      <c r="H41" s="151">
        <f t="shared" ref="H41" si="12">(C41+D41+E41+F41)/100</f>
        <v>3</v>
      </c>
      <c r="I41" s="151">
        <f t="shared" si="11"/>
        <v>5.4803999999999995</v>
      </c>
    </row>
    <row r="42" spans="2:9" x14ac:dyDescent="0.25">
      <c r="B42" s="149" t="s">
        <v>318</v>
      </c>
      <c r="C42" s="149"/>
      <c r="D42" s="149">
        <v>300</v>
      </c>
      <c r="E42" s="149"/>
      <c r="F42" s="149"/>
      <c r="G42" s="149">
        <v>1.8268</v>
      </c>
      <c r="H42" s="151">
        <f t="shared" ref="H42" si="13">(C42+D42+E42+F42)/100</f>
        <v>3</v>
      </c>
      <c r="I42" s="151">
        <f t="shared" si="11"/>
        <v>5.4803999999999995</v>
      </c>
    </row>
    <row r="43" spans="2:9" x14ac:dyDescent="0.25">
      <c r="B43" s="149" t="s">
        <v>318</v>
      </c>
      <c r="C43" s="149"/>
      <c r="D43" s="149">
        <v>300</v>
      </c>
      <c r="E43" s="149"/>
      <c r="F43" s="149"/>
      <c r="G43" s="149">
        <v>1.5</v>
      </c>
      <c r="H43" s="151">
        <f t="shared" ref="H43" si="14">(C43+D43+E43+F43)/100</f>
        <v>3</v>
      </c>
      <c r="I43" s="151">
        <f t="shared" si="11"/>
        <v>4.5</v>
      </c>
    </row>
    <row r="44" spans="2:9" x14ac:dyDescent="0.25">
      <c r="H44" t="s">
        <v>319</v>
      </c>
      <c r="I44" s="137">
        <f>SUM(I30:I43)</f>
        <v>54.103628</v>
      </c>
    </row>
    <row r="45" spans="2:9" ht="15.75" thickBot="1" x14ac:dyDescent="0.3">
      <c r="I45" s="137"/>
    </row>
    <row r="46" spans="2:9" ht="15.75" thickBot="1" x14ac:dyDescent="0.3">
      <c r="B46" s="4" t="s">
        <v>315</v>
      </c>
      <c r="C46" s="2" t="s">
        <v>1</v>
      </c>
      <c r="D46" s="3" t="s">
        <v>2</v>
      </c>
      <c r="E46" s="3" t="s">
        <v>3</v>
      </c>
      <c r="F46" s="3" t="s">
        <v>11</v>
      </c>
      <c r="G46" s="3" t="s">
        <v>4</v>
      </c>
      <c r="H46" s="2" t="s">
        <v>5</v>
      </c>
      <c r="I46" s="4" t="s">
        <v>6</v>
      </c>
    </row>
    <row r="47" spans="2:9" x14ac:dyDescent="0.25">
      <c r="B47" s="145" t="s">
        <v>322</v>
      </c>
      <c r="C47" s="145">
        <v>185.5</v>
      </c>
      <c r="D47" s="145">
        <v>0</v>
      </c>
      <c r="E47" s="145">
        <v>0</v>
      </c>
      <c r="F47" s="145">
        <v>0</v>
      </c>
      <c r="G47" s="145">
        <v>1.601</v>
      </c>
      <c r="H47" s="158">
        <f>C47/100</f>
        <v>1.855</v>
      </c>
      <c r="I47" s="158">
        <f>G47*H47</f>
        <v>2.9698549999999999</v>
      </c>
    </row>
    <row r="48" spans="2:9" x14ac:dyDescent="0.25">
      <c r="B48" s="149" t="s">
        <v>323</v>
      </c>
      <c r="C48" s="149">
        <v>185.5</v>
      </c>
      <c r="D48" s="149"/>
      <c r="E48" s="149"/>
      <c r="F48" s="149"/>
      <c r="G48" s="149">
        <v>0.75</v>
      </c>
      <c r="H48" s="159">
        <f>C48/100</f>
        <v>1.855</v>
      </c>
      <c r="I48" s="159">
        <f>G48*H48</f>
        <v>1.3912499999999999</v>
      </c>
    </row>
    <row r="49" spans="2:9" x14ac:dyDescent="0.25">
      <c r="H49" t="s">
        <v>319</v>
      </c>
      <c r="I49" s="137">
        <f>SUM(I47:I48)</f>
        <v>4.3611050000000002</v>
      </c>
    </row>
    <row r="50" spans="2:9" ht="15.75" thickBot="1" x14ac:dyDescent="0.3"/>
    <row r="51" spans="2:9" ht="15.75" thickBot="1" x14ac:dyDescent="0.3">
      <c r="B51" s="4" t="s">
        <v>324</v>
      </c>
      <c r="C51" s="2" t="s">
        <v>1</v>
      </c>
      <c r="D51" s="3" t="s">
        <v>2</v>
      </c>
      <c r="E51" s="3" t="s">
        <v>3</v>
      </c>
      <c r="F51" s="3" t="s">
        <v>11</v>
      </c>
      <c r="G51" s="3" t="s">
        <v>4</v>
      </c>
      <c r="H51" s="2" t="s">
        <v>5</v>
      </c>
      <c r="I51" s="4" t="s">
        <v>6</v>
      </c>
    </row>
    <row r="52" spans="2:9" x14ac:dyDescent="0.25">
      <c r="B52" s="157">
        <v>1</v>
      </c>
      <c r="C52" s="145">
        <v>21</v>
      </c>
      <c r="D52" s="145">
        <v>21</v>
      </c>
      <c r="E52" s="145">
        <v>46</v>
      </c>
      <c r="F52" s="145">
        <v>0</v>
      </c>
      <c r="G52" s="145">
        <v>0.59</v>
      </c>
      <c r="H52" s="158">
        <f>(C52+D52+E52+F52)/100</f>
        <v>0.88</v>
      </c>
      <c r="I52" s="158">
        <f>G52*H52</f>
        <v>0.51919999999999999</v>
      </c>
    </row>
    <row r="53" spans="2:9" x14ac:dyDescent="0.25">
      <c r="H53" t="s">
        <v>319</v>
      </c>
      <c r="I53" s="137">
        <f>SUM(I52:I52)</f>
        <v>0.51919999999999999</v>
      </c>
    </row>
  </sheetData>
  <mergeCells count="2">
    <mergeCell ref="B1:R1"/>
    <mergeCell ref="B17:R17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10"/>
  <sheetViews>
    <sheetView workbookViewId="0">
      <selection activeCell="F8" sqref="F8"/>
    </sheetView>
  </sheetViews>
  <sheetFormatPr defaultRowHeight="15" x14ac:dyDescent="0.25"/>
  <cols>
    <col min="1" max="1" width="51" customWidth="1"/>
    <col min="5" max="5" width="15.85546875" customWidth="1"/>
    <col min="6" max="6" width="7.7109375" customWidth="1"/>
    <col min="7" max="7" width="8.85546875" customWidth="1"/>
  </cols>
  <sheetData>
    <row r="2" spans="1:7" ht="15" customHeight="1" x14ac:dyDescent="0.25">
      <c r="A2" s="169" t="s">
        <v>221</v>
      </c>
      <c r="B2" s="170"/>
      <c r="C2" s="170"/>
      <c r="D2" s="170"/>
      <c r="E2" s="170"/>
      <c r="F2" s="170"/>
      <c r="G2" s="170"/>
    </row>
    <row r="3" spans="1:7" ht="15.75" customHeight="1" thickBot="1" x14ac:dyDescent="0.3">
      <c r="A3" s="171"/>
      <c r="B3" s="172"/>
      <c r="C3" s="172"/>
      <c r="D3" s="172"/>
      <c r="E3" s="172"/>
      <c r="F3" s="172"/>
      <c r="G3" s="172"/>
    </row>
    <row r="4" spans="1:7" ht="15.75" thickBot="1" x14ac:dyDescent="0.3">
      <c r="A4" s="162" t="s">
        <v>222</v>
      </c>
      <c r="B4" s="164"/>
      <c r="C4" s="164"/>
      <c r="D4" s="164"/>
      <c r="E4" s="164"/>
      <c r="F4" s="165" t="s">
        <v>308</v>
      </c>
      <c r="G4" s="166"/>
    </row>
    <row r="5" spans="1:7" ht="15.75" thickBot="1" x14ac:dyDescent="0.3">
      <c r="A5" s="163"/>
      <c r="B5" s="111" t="s">
        <v>147</v>
      </c>
      <c r="C5" s="112" t="s">
        <v>150</v>
      </c>
      <c r="D5" s="113" t="s">
        <v>173</v>
      </c>
      <c r="E5" s="113" t="s">
        <v>224</v>
      </c>
      <c r="F5" s="167"/>
      <c r="G5" s="168"/>
    </row>
    <row r="6" spans="1:7" x14ac:dyDescent="0.25">
      <c r="A6" s="125" t="s">
        <v>223</v>
      </c>
      <c r="B6" s="122">
        <f>'Bloco 1'!C8</f>
        <v>447.45</v>
      </c>
      <c r="C6" s="116">
        <f>'Bloco 2'!C8</f>
        <v>384.68</v>
      </c>
      <c r="D6" s="116">
        <f>'Bloco 3'!C8</f>
        <v>757.23</v>
      </c>
      <c r="E6" s="118">
        <f>'Castelo D'' água'!C10</f>
        <v>139.47</v>
      </c>
      <c r="F6" s="127">
        <f>SUM(B6:E6)</f>
        <v>1728.8300000000002</v>
      </c>
      <c r="G6" s="128" t="s">
        <v>309</v>
      </c>
    </row>
    <row r="7" spans="1:7" x14ac:dyDescent="0.25">
      <c r="A7" s="142" t="s">
        <v>305</v>
      </c>
      <c r="B7" s="123">
        <v>8</v>
      </c>
      <c r="C7" s="114">
        <v>8</v>
      </c>
      <c r="D7" s="114">
        <v>16</v>
      </c>
      <c r="E7" s="119" t="s">
        <v>307</v>
      </c>
      <c r="F7" s="129">
        <f>(((B7+C7)+(D7))/2)*2</f>
        <v>32</v>
      </c>
      <c r="G7" s="130" t="s">
        <v>311</v>
      </c>
    </row>
    <row r="8" spans="1:7" x14ac:dyDescent="0.25">
      <c r="A8" s="142" t="s">
        <v>304</v>
      </c>
      <c r="B8" s="124">
        <v>36</v>
      </c>
      <c r="C8" s="115">
        <v>20</v>
      </c>
      <c r="D8" s="115">
        <v>36</v>
      </c>
      <c r="E8" s="120" t="s">
        <v>307</v>
      </c>
      <c r="F8" s="129">
        <f t="shared" ref="F8:F10" si="0">SUM(B8:E8)</f>
        <v>92</v>
      </c>
      <c r="G8" s="130" t="s">
        <v>310</v>
      </c>
    </row>
    <row r="9" spans="1:7" x14ac:dyDescent="0.25">
      <c r="A9" s="142" t="s">
        <v>306</v>
      </c>
      <c r="B9" s="124" t="s">
        <v>307</v>
      </c>
      <c r="C9" s="115" t="s">
        <v>307</v>
      </c>
      <c r="D9" s="115" t="s">
        <v>307</v>
      </c>
      <c r="E9" s="119">
        <f>E10/4</f>
        <v>12.5</v>
      </c>
      <c r="F9" s="129">
        <f t="shared" si="0"/>
        <v>12.5</v>
      </c>
      <c r="G9" s="131" t="s">
        <v>312</v>
      </c>
    </row>
    <row r="10" spans="1:7" ht="15.75" thickBot="1" x14ac:dyDescent="0.3">
      <c r="A10" s="143" t="s">
        <v>304</v>
      </c>
      <c r="B10" s="126" t="s">
        <v>307</v>
      </c>
      <c r="C10" s="117" t="s">
        <v>307</v>
      </c>
      <c r="D10" s="117" t="s">
        <v>307</v>
      </c>
      <c r="E10" s="121">
        <f>2.5*10*2</f>
        <v>50</v>
      </c>
      <c r="F10" s="132">
        <f t="shared" si="0"/>
        <v>50</v>
      </c>
      <c r="G10" s="133" t="s">
        <v>309</v>
      </c>
    </row>
  </sheetData>
  <mergeCells count="4">
    <mergeCell ref="A4:A5"/>
    <mergeCell ref="B4:E4"/>
    <mergeCell ref="F4:G5"/>
    <mergeCell ref="A2:G3"/>
  </mergeCells>
  <pageMargins left="0.511811024" right="0.511811024" top="0.78740157499999996" bottom="0.78740157499999996" header="0.31496062000000002" footer="0.3149606200000000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23"/>
  <sheetViews>
    <sheetView workbookViewId="0">
      <selection activeCell="F26" sqref="F26"/>
    </sheetView>
  </sheetViews>
  <sheetFormatPr defaultRowHeight="15" x14ac:dyDescent="0.25"/>
  <cols>
    <col min="2" max="2" width="3.28515625" bestFit="1" customWidth="1"/>
    <col min="3" max="3" width="45.140625" customWidth="1"/>
    <col min="8" max="8" width="9.85546875" bestFit="1" customWidth="1"/>
  </cols>
  <sheetData>
    <row r="1" spans="2:8" x14ac:dyDescent="0.25">
      <c r="B1" s="67"/>
      <c r="C1" s="68"/>
      <c r="D1" s="68"/>
      <c r="E1" s="68"/>
      <c r="F1" s="68"/>
      <c r="G1" s="68"/>
      <c r="H1" s="68"/>
    </row>
    <row r="2" spans="2:8" ht="15.75" x14ac:dyDescent="0.25">
      <c r="B2" s="173" t="s">
        <v>249</v>
      </c>
      <c r="C2" s="173"/>
      <c r="D2" s="173"/>
      <c r="E2" s="68"/>
      <c r="F2" s="68"/>
      <c r="G2" s="68"/>
      <c r="H2" s="68"/>
    </row>
    <row r="3" spans="2:8" x14ac:dyDescent="0.25">
      <c r="B3" s="174"/>
      <c r="C3" s="174"/>
      <c r="D3" s="174"/>
      <c r="E3" s="68"/>
      <c r="F3" s="68"/>
      <c r="G3" s="68"/>
      <c r="H3" s="68"/>
    </row>
    <row r="4" spans="2:8" ht="15.75" thickBot="1" x14ac:dyDescent="0.3">
      <c r="B4" s="67"/>
      <c r="C4" s="69"/>
      <c r="D4" s="68"/>
      <c r="E4" s="68"/>
      <c r="F4" s="68"/>
      <c r="G4" s="68"/>
      <c r="H4" s="68"/>
    </row>
    <row r="5" spans="2:8" ht="16.5" thickBot="1" x14ac:dyDescent="0.3">
      <c r="B5" s="70" t="s">
        <v>225</v>
      </c>
      <c r="C5" s="71" t="s">
        <v>226</v>
      </c>
      <c r="D5" s="72">
        <f>SUM(D6:D7)</f>
        <v>5.57E-2</v>
      </c>
      <c r="F5" s="73"/>
      <c r="G5" s="73"/>
      <c r="H5" s="73"/>
    </row>
    <row r="6" spans="2:8" x14ac:dyDescent="0.25">
      <c r="B6" s="74" t="s">
        <v>227</v>
      </c>
      <c r="C6" s="75" t="s">
        <v>303</v>
      </c>
      <c r="D6" s="76">
        <v>1.5699999999999999E-2</v>
      </c>
      <c r="E6" s="68" t="s">
        <v>228</v>
      </c>
      <c r="G6" s="68"/>
      <c r="H6" s="88"/>
    </row>
    <row r="7" spans="2:8" ht="15.75" thickBot="1" x14ac:dyDescent="0.3">
      <c r="B7" s="77" t="s">
        <v>229</v>
      </c>
      <c r="C7" s="78" t="s">
        <v>230</v>
      </c>
      <c r="D7" s="79">
        <v>0.04</v>
      </c>
      <c r="E7" s="68"/>
      <c r="F7" s="68"/>
      <c r="G7" s="68"/>
      <c r="H7" s="160"/>
    </row>
    <row r="8" spans="2:8" ht="15.75" thickBot="1" x14ac:dyDescent="0.3">
      <c r="B8" s="80" t="s">
        <v>231</v>
      </c>
      <c r="C8" s="71" t="s">
        <v>232</v>
      </c>
      <c r="D8" s="72">
        <f>SUM(D9:D9)</f>
        <v>6.1600000000000002E-2</v>
      </c>
      <c r="E8" s="81"/>
      <c r="F8" s="81"/>
      <c r="G8" s="81"/>
      <c r="H8" s="81"/>
    </row>
    <row r="9" spans="2:8" ht="15.75" thickBot="1" x14ac:dyDescent="0.3">
      <c r="B9" s="82" t="s">
        <v>233</v>
      </c>
      <c r="C9" s="83" t="s">
        <v>232</v>
      </c>
      <c r="D9" s="84">
        <v>6.1600000000000002E-2</v>
      </c>
      <c r="E9" s="73"/>
      <c r="F9" s="73"/>
      <c r="G9" s="73"/>
      <c r="H9" s="73"/>
    </row>
    <row r="10" spans="2:8" ht="15.75" thickBot="1" x14ac:dyDescent="0.3">
      <c r="B10" s="80" t="s">
        <v>234</v>
      </c>
      <c r="C10" s="71" t="s">
        <v>235</v>
      </c>
      <c r="D10" s="72">
        <f>SUM(D11)</f>
        <v>5.8999999999999999E-3</v>
      </c>
      <c r="E10" s="73"/>
      <c r="F10" s="73"/>
      <c r="G10" s="73"/>
      <c r="H10" s="73"/>
    </row>
    <row r="11" spans="2:8" ht="15.75" thickBot="1" x14ac:dyDescent="0.3">
      <c r="B11" s="85" t="s">
        <v>236</v>
      </c>
      <c r="C11" s="83" t="s">
        <v>235</v>
      </c>
      <c r="D11" s="84">
        <v>5.8999999999999999E-3</v>
      </c>
      <c r="E11" s="68"/>
      <c r="F11" s="68"/>
      <c r="G11" s="68"/>
      <c r="H11" s="68"/>
    </row>
    <row r="12" spans="2:8" ht="15.75" thickBot="1" x14ac:dyDescent="0.3">
      <c r="B12" s="80" t="s">
        <v>237</v>
      </c>
      <c r="C12" s="71" t="s">
        <v>238</v>
      </c>
      <c r="D12" s="72">
        <f>SUM(D13:D16)</f>
        <v>9.1499999999999998E-2</v>
      </c>
      <c r="E12" s="68"/>
      <c r="F12" s="68"/>
      <c r="G12" s="68"/>
      <c r="H12" s="68"/>
    </row>
    <row r="13" spans="2:8" x14ac:dyDescent="0.25">
      <c r="B13" s="74" t="s">
        <v>239</v>
      </c>
      <c r="C13" s="75" t="s">
        <v>240</v>
      </c>
      <c r="D13" s="76">
        <v>6.4999999999999997E-3</v>
      </c>
      <c r="E13" s="68"/>
      <c r="F13" s="68"/>
      <c r="G13" s="68"/>
      <c r="H13" s="68"/>
    </row>
    <row r="14" spans="2:8" x14ac:dyDescent="0.25">
      <c r="B14" s="77" t="s">
        <v>241</v>
      </c>
      <c r="C14" s="78" t="s">
        <v>242</v>
      </c>
      <c r="D14" s="79">
        <v>0.03</v>
      </c>
      <c r="E14" s="68"/>
      <c r="F14" s="68"/>
      <c r="G14" s="68"/>
      <c r="H14" s="68"/>
    </row>
    <row r="15" spans="2:8" x14ac:dyDescent="0.25">
      <c r="B15" s="77" t="s">
        <v>243</v>
      </c>
      <c r="C15" s="78" t="s">
        <v>244</v>
      </c>
      <c r="D15" s="79">
        <f>2%*50%</f>
        <v>0.01</v>
      </c>
      <c r="E15" s="68" t="s">
        <v>245</v>
      </c>
      <c r="F15" s="68"/>
      <c r="G15" s="68"/>
      <c r="H15" s="68"/>
    </row>
    <row r="16" spans="2:8" ht="24.75" thickBot="1" x14ac:dyDescent="0.3">
      <c r="B16" s="82" t="s">
        <v>246</v>
      </c>
      <c r="C16" s="83" t="s">
        <v>247</v>
      </c>
      <c r="D16" s="84">
        <v>4.4999999999999998E-2</v>
      </c>
      <c r="E16" s="68"/>
      <c r="F16" s="68"/>
      <c r="G16" s="68"/>
      <c r="H16" s="68"/>
    </row>
    <row r="17" spans="2:8" ht="15.75" thickBot="1" x14ac:dyDescent="0.3">
      <c r="B17" s="80"/>
      <c r="C17" s="86" t="s">
        <v>248</v>
      </c>
      <c r="D17" s="87">
        <f>+(((1+D5)*(1+D8)*(1+D10)/(1-D12))-1)</f>
        <v>0.24088435179746881</v>
      </c>
      <c r="E17" s="68"/>
      <c r="F17" s="68"/>
      <c r="G17" s="68"/>
      <c r="H17" s="68"/>
    </row>
    <row r="18" spans="2:8" x14ac:dyDescent="0.25">
      <c r="B18" s="67"/>
      <c r="C18" s="69"/>
      <c r="D18" s="68"/>
      <c r="E18" s="68"/>
      <c r="F18" s="68"/>
      <c r="G18" s="68"/>
      <c r="H18" s="68"/>
    </row>
    <row r="19" spans="2:8" x14ac:dyDescent="0.25">
      <c r="B19" s="67"/>
      <c r="C19" s="68"/>
      <c r="D19" s="88"/>
      <c r="E19" s="68"/>
      <c r="F19" s="68"/>
      <c r="G19" s="68"/>
      <c r="H19" s="68"/>
    </row>
    <row r="20" spans="2:8" x14ac:dyDescent="0.25">
      <c r="B20" s="67"/>
      <c r="C20" s="68"/>
      <c r="D20" s="68"/>
      <c r="E20" s="68"/>
      <c r="F20" s="68"/>
      <c r="G20" s="68"/>
      <c r="H20" s="68"/>
    </row>
    <row r="21" spans="2:8" ht="15.75" x14ac:dyDescent="0.25">
      <c r="B21" s="67"/>
      <c r="C21" s="175"/>
      <c r="D21" s="175"/>
      <c r="E21" s="175"/>
      <c r="F21" s="175"/>
      <c r="G21" s="175"/>
      <c r="H21" s="175"/>
    </row>
    <row r="23" spans="2:8" x14ac:dyDescent="0.25">
      <c r="F23" s="110"/>
    </row>
  </sheetData>
  <mergeCells count="3">
    <mergeCell ref="B2:D2"/>
    <mergeCell ref="B3:D3"/>
    <mergeCell ref="C21:H21"/>
  </mergeCells>
  <pageMargins left="0.511811024" right="0.511811024" top="0.78740157499999996" bottom="0.78740157499999996" header="0.31496062000000002" footer="0.3149606200000000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G38"/>
  <sheetViews>
    <sheetView tabSelected="1" workbookViewId="0">
      <selection activeCell="Q10" sqref="Q10"/>
    </sheetView>
  </sheetViews>
  <sheetFormatPr defaultRowHeight="15" x14ac:dyDescent="0.25"/>
  <cols>
    <col min="4" max="4" width="44.42578125" bestFit="1" customWidth="1"/>
    <col min="6" max="6" width="9" bestFit="1" customWidth="1"/>
  </cols>
  <sheetData>
    <row r="3" spans="2:7" x14ac:dyDescent="0.25">
      <c r="B3" s="68"/>
      <c r="C3" s="176" t="s">
        <v>250</v>
      </c>
      <c r="D3" s="176"/>
      <c r="E3" s="176"/>
      <c r="F3" s="176"/>
      <c r="G3" s="89"/>
    </row>
    <row r="4" spans="2:7" ht="15.75" thickBot="1" x14ac:dyDescent="0.3">
      <c r="B4" s="68"/>
      <c r="C4" s="174" t="s">
        <v>337</v>
      </c>
      <c r="D4" s="174"/>
      <c r="E4" s="174"/>
      <c r="F4" s="174"/>
      <c r="G4" s="89"/>
    </row>
    <row r="5" spans="2:7" ht="15.75" x14ac:dyDescent="0.25">
      <c r="B5" s="90"/>
      <c r="C5" s="177" t="s">
        <v>251</v>
      </c>
      <c r="D5" s="179" t="s">
        <v>252</v>
      </c>
      <c r="E5" s="181" t="s">
        <v>253</v>
      </c>
      <c r="F5" s="181"/>
      <c r="G5" s="91"/>
    </row>
    <row r="6" spans="2:7" ht="26.25" thickBot="1" x14ac:dyDescent="0.3">
      <c r="B6" s="90"/>
      <c r="C6" s="178"/>
      <c r="D6" s="180"/>
      <c r="E6" s="94" t="s">
        <v>254</v>
      </c>
      <c r="F6" s="94" t="s">
        <v>255</v>
      </c>
      <c r="G6" s="91"/>
    </row>
    <row r="7" spans="2:7" x14ac:dyDescent="0.25">
      <c r="B7" s="89"/>
      <c r="C7" s="95" t="s">
        <v>227</v>
      </c>
      <c r="D7" s="96" t="s">
        <v>256</v>
      </c>
      <c r="E7" s="97">
        <v>0</v>
      </c>
      <c r="F7" s="97">
        <v>0</v>
      </c>
      <c r="G7" s="89"/>
    </row>
    <row r="8" spans="2:7" x14ac:dyDescent="0.25">
      <c r="B8" s="92"/>
      <c r="C8" s="98" t="s">
        <v>229</v>
      </c>
      <c r="D8" s="99" t="s">
        <v>257</v>
      </c>
      <c r="E8" s="100">
        <v>1.5</v>
      </c>
      <c r="F8" s="100">
        <v>1.5</v>
      </c>
      <c r="G8" s="92"/>
    </row>
    <row r="9" spans="2:7" x14ac:dyDescent="0.25">
      <c r="B9" s="89"/>
      <c r="C9" s="101" t="s">
        <v>258</v>
      </c>
      <c r="D9" s="99" t="s">
        <v>259</v>
      </c>
      <c r="E9" s="100">
        <v>1</v>
      </c>
      <c r="F9" s="100">
        <v>1</v>
      </c>
      <c r="G9" s="89"/>
    </row>
    <row r="10" spans="2:7" x14ac:dyDescent="0.25">
      <c r="B10" s="93"/>
      <c r="C10" s="101" t="s">
        <v>260</v>
      </c>
      <c r="D10" s="99" t="s">
        <v>261</v>
      </c>
      <c r="E10" s="100">
        <v>0.2</v>
      </c>
      <c r="F10" s="100">
        <v>0.2</v>
      </c>
      <c r="G10" s="93"/>
    </row>
    <row r="11" spans="2:7" x14ac:dyDescent="0.25">
      <c r="B11" s="89"/>
      <c r="C11" s="101" t="s">
        <v>262</v>
      </c>
      <c r="D11" s="99" t="s">
        <v>263</v>
      </c>
      <c r="E11" s="100">
        <v>0.6</v>
      </c>
      <c r="F11" s="100">
        <v>0.6</v>
      </c>
      <c r="G11" s="89"/>
    </row>
    <row r="12" spans="2:7" x14ac:dyDescent="0.25">
      <c r="B12" s="89"/>
      <c r="C12" s="101" t="s">
        <v>264</v>
      </c>
      <c r="D12" s="99" t="s">
        <v>265</v>
      </c>
      <c r="E12" s="100">
        <v>2.5</v>
      </c>
      <c r="F12" s="100">
        <v>2.5</v>
      </c>
      <c r="G12" s="89"/>
    </row>
    <row r="13" spans="2:7" x14ac:dyDescent="0.25">
      <c r="B13" s="89"/>
      <c r="C13" s="101" t="s">
        <v>266</v>
      </c>
      <c r="D13" s="99" t="s">
        <v>267</v>
      </c>
      <c r="E13" s="100">
        <v>3</v>
      </c>
      <c r="F13" s="100">
        <v>3</v>
      </c>
      <c r="G13" s="89"/>
    </row>
    <row r="14" spans="2:7" x14ac:dyDescent="0.25">
      <c r="B14" s="89"/>
      <c r="C14" s="101" t="s">
        <v>268</v>
      </c>
      <c r="D14" s="99" t="s">
        <v>269</v>
      </c>
      <c r="E14" s="100">
        <v>8</v>
      </c>
      <c r="F14" s="100">
        <v>8</v>
      </c>
      <c r="G14" s="89"/>
    </row>
    <row r="15" spans="2:7" ht="15.75" thickBot="1" x14ac:dyDescent="0.3">
      <c r="B15" s="89"/>
      <c r="C15" s="102" t="s">
        <v>270</v>
      </c>
      <c r="D15" s="103" t="s">
        <v>271</v>
      </c>
      <c r="E15" s="104">
        <v>1</v>
      </c>
      <c r="F15" s="104">
        <v>1</v>
      </c>
      <c r="G15" s="89"/>
    </row>
    <row r="16" spans="2:7" ht="15.75" thickBot="1" x14ac:dyDescent="0.3">
      <c r="B16" s="89"/>
      <c r="C16" s="105" t="s">
        <v>225</v>
      </c>
      <c r="D16" s="105" t="s">
        <v>272</v>
      </c>
      <c r="E16" s="106">
        <f>SUM(E7:E15)</f>
        <v>17.8</v>
      </c>
      <c r="F16" s="106">
        <f>SUM(F7:F15)</f>
        <v>17.8</v>
      </c>
      <c r="G16" s="89"/>
    </row>
    <row r="17" spans="2:7" x14ac:dyDescent="0.25">
      <c r="B17" s="89"/>
      <c r="C17" s="95" t="s">
        <v>233</v>
      </c>
      <c r="D17" s="96" t="s">
        <v>273</v>
      </c>
      <c r="E17" s="97">
        <v>17.75</v>
      </c>
      <c r="F17" s="97">
        <v>0</v>
      </c>
      <c r="G17" s="89"/>
    </row>
    <row r="18" spans="2:7" x14ac:dyDescent="0.25">
      <c r="B18" s="89"/>
      <c r="C18" s="98" t="s">
        <v>274</v>
      </c>
      <c r="D18" s="99" t="s">
        <v>275</v>
      </c>
      <c r="E18" s="100">
        <v>3.41</v>
      </c>
      <c r="F18" s="100">
        <v>0</v>
      </c>
      <c r="G18" s="89"/>
    </row>
    <row r="19" spans="2:7" x14ac:dyDescent="0.25">
      <c r="B19" s="89"/>
      <c r="C19" s="101" t="s">
        <v>276</v>
      </c>
      <c r="D19" s="99" t="s">
        <v>277</v>
      </c>
      <c r="E19" s="100">
        <v>0.85</v>
      </c>
      <c r="F19" s="100">
        <v>0.66</v>
      </c>
      <c r="G19" s="89"/>
    </row>
    <row r="20" spans="2:7" x14ac:dyDescent="0.25">
      <c r="B20" s="89"/>
      <c r="C20" s="101" t="s">
        <v>278</v>
      </c>
      <c r="D20" s="99" t="s">
        <v>302</v>
      </c>
      <c r="E20" s="100">
        <v>10.72</v>
      </c>
      <c r="F20" s="100">
        <v>8.33</v>
      </c>
      <c r="G20" s="89"/>
    </row>
    <row r="21" spans="2:7" x14ac:dyDescent="0.25">
      <c r="B21" s="89"/>
      <c r="C21" s="101" t="s">
        <v>279</v>
      </c>
      <c r="D21" s="99" t="s">
        <v>280</v>
      </c>
      <c r="E21" s="100">
        <v>0.06</v>
      </c>
      <c r="F21" s="100">
        <v>0.05</v>
      </c>
      <c r="G21" s="89"/>
    </row>
    <row r="22" spans="2:7" x14ac:dyDescent="0.25">
      <c r="B22" s="89"/>
      <c r="C22" s="101" t="s">
        <v>281</v>
      </c>
      <c r="D22" s="99" t="s">
        <v>282</v>
      </c>
      <c r="E22" s="100">
        <v>0.71</v>
      </c>
      <c r="F22" s="100">
        <v>0.56000000000000005</v>
      </c>
      <c r="G22" s="89"/>
    </row>
    <row r="23" spans="2:7" x14ac:dyDescent="0.25">
      <c r="B23" s="89"/>
      <c r="C23" s="101" t="s">
        <v>283</v>
      </c>
      <c r="D23" s="99" t="s">
        <v>284</v>
      </c>
      <c r="E23" s="100">
        <v>1.32</v>
      </c>
      <c r="F23" s="100">
        <v>0</v>
      </c>
      <c r="G23" s="89"/>
    </row>
    <row r="24" spans="2:7" x14ac:dyDescent="0.25">
      <c r="B24" s="89"/>
      <c r="C24" s="101" t="s">
        <v>285</v>
      </c>
      <c r="D24" s="99" t="s">
        <v>286</v>
      </c>
      <c r="E24" s="100">
        <v>0.1</v>
      </c>
      <c r="F24" s="100">
        <v>0.08</v>
      </c>
      <c r="G24" s="89"/>
    </row>
    <row r="25" spans="2:7" x14ac:dyDescent="0.25">
      <c r="B25" s="89"/>
      <c r="C25" s="101" t="s">
        <v>287</v>
      </c>
      <c r="D25" s="99" t="s">
        <v>288</v>
      </c>
      <c r="E25" s="100">
        <v>8.34</v>
      </c>
      <c r="F25" s="100">
        <v>6.48</v>
      </c>
      <c r="G25" s="89"/>
    </row>
    <row r="26" spans="2:7" ht="15.75" thickBot="1" x14ac:dyDescent="0.3">
      <c r="B26" s="89"/>
      <c r="C26" s="101" t="s">
        <v>289</v>
      </c>
      <c r="D26" s="99" t="s">
        <v>290</v>
      </c>
      <c r="E26" s="100">
        <v>0.04</v>
      </c>
      <c r="F26" s="100">
        <v>0.03</v>
      </c>
      <c r="G26" s="89"/>
    </row>
    <row r="27" spans="2:7" ht="15.75" thickBot="1" x14ac:dyDescent="0.3">
      <c r="B27" s="89"/>
      <c r="C27" s="105" t="s">
        <v>231</v>
      </c>
      <c r="D27" s="105" t="s">
        <v>272</v>
      </c>
      <c r="E27" s="106">
        <f>SUM(E17:E26)</f>
        <v>43.300000000000004</v>
      </c>
      <c r="F27" s="106">
        <f>SUM(F17:F26)</f>
        <v>16.190000000000005</v>
      </c>
      <c r="G27" s="89"/>
    </row>
    <row r="28" spans="2:7" x14ac:dyDescent="0.25">
      <c r="B28" s="89"/>
      <c r="C28" s="95" t="s">
        <v>236</v>
      </c>
      <c r="D28" s="96" t="s">
        <v>291</v>
      </c>
      <c r="E28" s="97">
        <v>4.16</v>
      </c>
      <c r="F28" s="97">
        <v>3.24</v>
      </c>
      <c r="G28" s="89"/>
    </row>
    <row r="29" spans="2:7" x14ac:dyDescent="0.25">
      <c r="B29" s="89"/>
      <c r="C29" s="98" t="s">
        <v>292</v>
      </c>
      <c r="D29" s="99" t="s">
        <v>293</v>
      </c>
      <c r="E29" s="100">
        <v>0.1</v>
      </c>
      <c r="F29" s="100">
        <v>0.08</v>
      </c>
      <c r="G29" s="89"/>
    </row>
    <row r="30" spans="2:7" x14ac:dyDescent="0.25">
      <c r="B30" s="89"/>
      <c r="C30" s="101" t="s">
        <v>294</v>
      </c>
      <c r="D30" s="99" t="s">
        <v>295</v>
      </c>
      <c r="E30" s="100">
        <v>5.13</v>
      </c>
      <c r="F30" s="100">
        <v>3.99</v>
      </c>
      <c r="G30" s="89"/>
    </row>
    <row r="31" spans="2:7" x14ac:dyDescent="0.25">
      <c r="B31" s="89"/>
      <c r="C31" s="101" t="s">
        <v>296</v>
      </c>
      <c r="D31" s="99" t="s">
        <v>297</v>
      </c>
      <c r="E31" s="100">
        <v>3.11</v>
      </c>
      <c r="F31" s="100">
        <v>2.42</v>
      </c>
      <c r="G31" s="89"/>
    </row>
    <row r="32" spans="2:7" ht="15.75" thickBot="1" x14ac:dyDescent="0.3">
      <c r="B32" s="89"/>
      <c r="C32" s="101" t="s">
        <v>296</v>
      </c>
      <c r="D32" s="99" t="s">
        <v>298</v>
      </c>
      <c r="E32" s="100">
        <v>0.35</v>
      </c>
      <c r="F32" s="100">
        <v>0.27</v>
      </c>
      <c r="G32" s="89"/>
    </row>
    <row r="33" spans="2:7" ht="15.75" thickBot="1" x14ac:dyDescent="0.3">
      <c r="B33" s="89"/>
      <c r="C33" s="105" t="s">
        <v>234</v>
      </c>
      <c r="D33" s="105" t="s">
        <v>272</v>
      </c>
      <c r="E33" s="106">
        <f>SUM(E28:E32)</f>
        <v>12.85</v>
      </c>
      <c r="F33" s="106">
        <f>SUM(F28:F32)</f>
        <v>10</v>
      </c>
      <c r="G33" s="89"/>
    </row>
    <row r="34" spans="2:7" x14ac:dyDescent="0.25">
      <c r="B34" s="89"/>
      <c r="C34" s="95" t="s">
        <v>239</v>
      </c>
      <c r="D34" s="96" t="s">
        <v>299</v>
      </c>
      <c r="E34" s="97">
        <v>7.71</v>
      </c>
      <c r="F34" s="97">
        <v>2.88</v>
      </c>
      <c r="G34" s="89"/>
    </row>
    <row r="35" spans="2:7" ht="39" thickBot="1" x14ac:dyDescent="0.3">
      <c r="B35" s="89"/>
      <c r="C35" s="98" t="s">
        <v>241</v>
      </c>
      <c r="D35" s="107" t="s">
        <v>300</v>
      </c>
      <c r="E35" s="100">
        <v>0.35</v>
      </c>
      <c r="F35" s="100">
        <v>0.27</v>
      </c>
      <c r="G35" s="89"/>
    </row>
    <row r="36" spans="2:7" ht="15.75" thickBot="1" x14ac:dyDescent="0.3">
      <c r="B36" s="89"/>
      <c r="C36" s="105" t="s">
        <v>237</v>
      </c>
      <c r="D36" s="105" t="s">
        <v>272</v>
      </c>
      <c r="E36" s="106">
        <f>SUM(E34:E35)</f>
        <v>8.06</v>
      </c>
      <c r="F36" s="106">
        <f>SUM(F34:F35)</f>
        <v>3.15</v>
      </c>
      <c r="G36" s="89"/>
    </row>
    <row r="37" spans="2:7" ht="15.75" thickBot="1" x14ac:dyDescent="0.3">
      <c r="B37" s="89"/>
      <c r="C37" s="108"/>
      <c r="D37" s="108" t="s">
        <v>301</v>
      </c>
      <c r="E37" s="109">
        <f>E36+E33+E27+E16</f>
        <v>82.01</v>
      </c>
      <c r="F37" s="109">
        <f>F36+F33+F27+F16</f>
        <v>47.14</v>
      </c>
      <c r="G37" s="89"/>
    </row>
    <row r="38" spans="2:7" x14ac:dyDescent="0.25">
      <c r="B38" s="89"/>
      <c r="C38" s="67"/>
      <c r="D38" s="68"/>
      <c r="E38" s="68"/>
      <c r="F38" s="68"/>
      <c r="G38" s="89"/>
    </row>
  </sheetData>
  <mergeCells count="5">
    <mergeCell ref="C3:F3"/>
    <mergeCell ref="C4:F4"/>
    <mergeCell ref="C5:C6"/>
    <mergeCell ref="D5:D6"/>
    <mergeCell ref="E5:F5"/>
  </mergeCells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7</vt:i4>
      </vt:variant>
    </vt:vector>
  </HeadingPairs>
  <TitlesOfParts>
    <vt:vector size="7" baseType="lpstr">
      <vt:lpstr>Bloco 1</vt:lpstr>
      <vt:lpstr>Bloco 2</vt:lpstr>
      <vt:lpstr>Bloco 3</vt:lpstr>
      <vt:lpstr>Castelo D' água</vt:lpstr>
      <vt:lpstr>Resumo</vt:lpstr>
      <vt:lpstr>Composição do BDI</vt:lpstr>
      <vt:lpstr>Composição de Encargos Sociais</vt:lpstr>
    </vt:vector>
  </TitlesOfParts>
  <Company>Agência Brasileira de Inteligência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"12492"</dc:creator>
  <cp:lastModifiedBy>"12492"</cp:lastModifiedBy>
  <dcterms:created xsi:type="dcterms:W3CDTF">2022-07-25T17:50:58Z</dcterms:created>
  <dcterms:modified xsi:type="dcterms:W3CDTF">2023-02-01T14:09:57Z</dcterms:modified>
</cp:coreProperties>
</file>